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trlProps/ctrlProp58.xml" ContentType="application/vnd.ms-excel.controlproperties+xml"/>
  <Override PartName="/xl/ctrlProps/ctrlProp59.xml" ContentType="application/vnd.ms-excel.controlproperties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TORsci\ปี 2564\"/>
    </mc:Choice>
  </mc:AlternateContent>
  <xr:revisionPtr revIDLastSave="0" documentId="8_{4CAB9D47-6D4D-4F54-813D-E718063BCD71}" xr6:coauthVersionLast="45" xr6:coauthVersionMax="45" xr10:uidLastSave="{00000000-0000-0000-0000-000000000000}"/>
  <bookViews>
    <workbookView xWindow="-120" yWindow="-120" windowWidth="20730" windowHeight="11160" tabRatio="738" activeTab="1" xr2:uid="{00000000-000D-0000-FFFF-FFFF00000000}"/>
  </bookViews>
  <sheets>
    <sheet name="คำชี้แจง" sheetId="1" r:id="rId1"/>
    <sheet name="แบบข้อตกลง TOR (ป.วช.-01)" sheetId="2" r:id="rId2"/>
    <sheet name="แบบประเมิน(ป.วช-02)" sheetId="5" r:id="rId3"/>
    <sheet name="สรุปภาระงาน" sheetId="6" r:id="rId4"/>
    <sheet name="1. สอน" sheetId="7" r:id="rId5"/>
    <sheet name="2. วิจัยและงานวิชาการอื่น" sheetId="8" r:id="rId6"/>
    <sheet name="3 ภาระงานบริการวิชาการ" sheetId="9" r:id="rId7"/>
    <sheet name="4 ทำนุบำรุงศิลปะ" sheetId="10" r:id="rId8"/>
    <sheet name="5 ภาระงานอื่น" sheetId="11" state="hidden" r:id="rId9"/>
    <sheet name="ภาระงานยุทธศาสตร์" sheetId="12" state="hidden" r:id="rId10"/>
    <sheet name="TypeTable" sheetId="3" state="hidden" r:id="rId11"/>
    <sheet name="น้ำหนัก" sheetId="4" state="hidden" r:id="rId12"/>
  </sheets>
  <externalReferences>
    <externalReference r:id="rId13"/>
  </externalReferences>
  <definedNames>
    <definedName name="_xlnm._FilterDatabase" localSheetId="5" hidden="1">'2. วิจัยและงานวิชาการอื่น'!$B$17:$I$92</definedName>
    <definedName name="AdminList" localSheetId="9">[1]!Table6[ตำแหน่งบริหาร]</definedName>
    <definedName name="AdminList">น้ำหนัก!$A$3:$A$13</definedName>
    <definedName name="CheckAuthor" localSheetId="9">[1]!Table13[ตรวจสอบ]</definedName>
    <definedName name="CheckAuthor">TypeTable!$AD$2:$AD$3</definedName>
    <definedName name="FactList" localSheetId="9">[1]!Table3[สังกัด]</definedName>
    <definedName name="FactList">TypeTable!$I$2:$I$18</definedName>
    <definedName name="NationalList" localSheetId="9">[1]!Table2[ระดับการเผยแพร่]</definedName>
    <definedName name="NationalList">TypeTable!$A$2:$A$4</definedName>
    <definedName name="PassList" localSheetId="9">[1]!Table11[ผ่านการประเมิน]</definedName>
    <definedName name="PassList">TypeTable!$U$2:$U$4</definedName>
    <definedName name="PatentList" localSheetId="9">[1]!Table5[ประเภทสิทธิบัตร]</definedName>
    <definedName name="PatentList">TypeTable!$E$2:$E$4</definedName>
    <definedName name="PersonType">TypeTable!$W$2:$W$4</definedName>
    <definedName name="PlaceList" localSheetId="9">[1]!Table7[สถานที่ประชุม]</definedName>
    <definedName name="PlaceList">TypeTable!$K$2:$K$4</definedName>
    <definedName name="PlaceList2" localSheetId="9">[1]!Table8[สถานที่ฝึกอบรม]</definedName>
    <definedName name="PlaceList2">TypeTable!$M$2:$M$4</definedName>
    <definedName name="PositionList" localSheetId="9">[1]!Table9[ประเมินตำแหน่งวิชาการ]</definedName>
    <definedName name="PositionList">TypeTable!$G$2:$G$6</definedName>
    <definedName name="PositionList2">TypeTable!$O$2:$O$6</definedName>
    <definedName name="_xlnm.Print_Area" localSheetId="4">'1. สอน'!$B$2:$K$418</definedName>
    <definedName name="_xlnm.Print_Area" localSheetId="5">'2. วิจัยและงานวิชาการอื่น'!$B$2:$V$302</definedName>
    <definedName name="_xlnm.Print_Area" localSheetId="6">'3 ภาระงานบริการวิชาการ'!$B$2:$N$462</definedName>
    <definedName name="_xlnm.Print_Area" localSheetId="7">'4 ทำนุบำรุงศิลปะ'!$B$2:$H$59</definedName>
    <definedName name="_xlnm.Print_Area" localSheetId="8">'5 ภาระงานอื่น'!$B$2:$H$100</definedName>
    <definedName name="_xlnm.Print_Area" localSheetId="1">'แบบข้อตกลง TOR (ป.วช.-01)'!$A$1:$Q$130</definedName>
    <definedName name="_xlnm.Print_Area" localSheetId="2">'แบบประเมิน(ป.วช-02)'!$A$1:$L$171</definedName>
    <definedName name="_xlnm.Print_Titles" localSheetId="0">คำชี้แจง!#REF!</definedName>
    <definedName name="RoundNumber" localSheetId="9">[1]!Table17[รอบการประเมิน]</definedName>
    <definedName name="RoundNumber">TypeTable!$AH$2:$AH$3</definedName>
    <definedName name="WeightList" localSheetId="9">[1]!Table10[ค่าน้ำหนัก]</definedName>
    <definedName name="WeightList">TypeTable!$Y$2:$Y$7</definedName>
    <definedName name="WeightTypeList" localSheetId="9">[1]!Table12[เผยแพร่ในวารสารวิชาการ]</definedName>
    <definedName name="WeightTypeList">TypeTable!$AA$2:$AA$7</definedName>
    <definedName name="WeightTypeList2" localSheetId="9">[1]!Table15[เผยแพร่วารสารและประชุม]</definedName>
    <definedName name="WeightTypeList2">TypeTable!$AF$2:$AF$9</definedName>
    <definedName name="WorkTypeList" localSheetId="9">[1]!Table4[ประเภทผลงาน]</definedName>
    <definedName name="WorkTypeList">TypeTable!$C$2:$C$4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40" i="2" l="1"/>
  <c r="AF40" i="2"/>
  <c r="AH40" i="2" s="1"/>
  <c r="AE40" i="2"/>
  <c r="AC40" i="2"/>
  <c r="AB40" i="2"/>
  <c r="AD40" i="2" s="1"/>
  <c r="D23" i="5" l="1"/>
  <c r="D24" i="5"/>
  <c r="K91" i="2"/>
  <c r="J80" i="5" s="1"/>
  <c r="K89" i="2"/>
  <c r="J78" i="5" s="1"/>
  <c r="K88" i="2"/>
  <c r="J77" i="5" s="1"/>
  <c r="K86" i="2"/>
  <c r="K85" i="2"/>
  <c r="J73" i="5" s="1"/>
  <c r="K81" i="2"/>
  <c r="J70" i="5" s="1"/>
  <c r="K79" i="2"/>
  <c r="J68" i="5" s="1"/>
  <c r="K78" i="2"/>
  <c r="J67" i="5" s="1"/>
  <c r="J72" i="5" l="1"/>
  <c r="I15" i="5"/>
  <c r="C15" i="5"/>
  <c r="L73" i="5" l="1"/>
  <c r="L82" i="5" s="1"/>
  <c r="A74" i="5"/>
  <c r="A73" i="5"/>
  <c r="I102" i="2" l="1"/>
  <c r="I101" i="2"/>
  <c r="I100" i="2"/>
  <c r="I99" i="2"/>
  <c r="I98" i="2"/>
  <c r="K15" i="7" l="1"/>
  <c r="K12" i="7"/>
  <c r="AC13" i="2" l="1"/>
  <c r="L73" i="2" l="1"/>
  <c r="K10" i="7"/>
  <c r="K8" i="7"/>
  <c r="AB22" i="2"/>
  <c r="L120" i="5" l="1"/>
  <c r="V201" i="8" l="1"/>
  <c r="T201" i="8"/>
  <c r="S201" i="8"/>
  <c r="U201" i="8" s="1"/>
  <c r="V200" i="8"/>
  <c r="T200" i="8"/>
  <c r="S200" i="8"/>
  <c r="U200" i="8" s="1"/>
  <c r="V199" i="8"/>
  <c r="T199" i="8"/>
  <c r="S199" i="8"/>
  <c r="U199" i="8" s="1"/>
  <c r="V198" i="8"/>
  <c r="T198" i="8"/>
  <c r="S198" i="8"/>
  <c r="U198" i="8" s="1"/>
  <c r="W198" i="8" s="1"/>
  <c r="V197" i="8"/>
  <c r="T197" i="8"/>
  <c r="S197" i="8"/>
  <c r="U197" i="8" s="1"/>
  <c r="W197" i="8" s="1"/>
  <c r="V196" i="8"/>
  <c r="T196" i="8"/>
  <c r="S196" i="8"/>
  <c r="U196" i="8" s="1"/>
  <c r="V195" i="8"/>
  <c r="T195" i="8"/>
  <c r="S195" i="8"/>
  <c r="U195" i="8" s="1"/>
  <c r="V194" i="8"/>
  <c r="U194" i="8"/>
  <c r="W194" i="8" s="1"/>
  <c r="T194" i="8"/>
  <c r="S194" i="8"/>
  <c r="V193" i="8"/>
  <c r="U193" i="8"/>
  <c r="W193" i="8" s="1"/>
  <c r="T193" i="8"/>
  <c r="S193" i="8"/>
  <c r="V192" i="8"/>
  <c r="T192" i="8"/>
  <c r="S192" i="8"/>
  <c r="U192" i="8" s="1"/>
  <c r="W192" i="8" s="1"/>
  <c r="V191" i="8"/>
  <c r="T191" i="8"/>
  <c r="S191" i="8"/>
  <c r="U191" i="8" s="1"/>
  <c r="W191" i="8" s="1"/>
  <c r="V190" i="8"/>
  <c r="T190" i="8"/>
  <c r="S190" i="8"/>
  <c r="U190" i="8" s="1"/>
  <c r="V189" i="8"/>
  <c r="T189" i="8"/>
  <c r="S189" i="8"/>
  <c r="U189" i="8" s="1"/>
  <c r="V188" i="8"/>
  <c r="T188" i="8"/>
  <c r="S188" i="8"/>
  <c r="U188" i="8" s="1"/>
  <c r="V187" i="8"/>
  <c r="T187" i="8"/>
  <c r="S187" i="8"/>
  <c r="U187" i="8" s="1"/>
  <c r="V186" i="8"/>
  <c r="T186" i="8"/>
  <c r="S186" i="8"/>
  <c r="U186" i="8" s="1"/>
  <c r="V185" i="8"/>
  <c r="T185" i="8"/>
  <c r="S185" i="8"/>
  <c r="U185" i="8" s="1"/>
  <c r="V184" i="8"/>
  <c r="T184" i="8"/>
  <c r="S184" i="8"/>
  <c r="U184" i="8" s="1"/>
  <c r="V183" i="8"/>
  <c r="T183" i="8"/>
  <c r="S183" i="8"/>
  <c r="U183" i="8" s="1"/>
  <c r="V182" i="8"/>
  <c r="T182" i="8"/>
  <c r="S182" i="8"/>
  <c r="U182" i="8" s="1"/>
  <c r="W182" i="8" s="1"/>
  <c r="V174" i="8"/>
  <c r="T174" i="8"/>
  <c r="S174" i="8"/>
  <c r="U174" i="8" s="1"/>
  <c r="W174" i="8" s="1"/>
  <c r="V173" i="8"/>
  <c r="T173" i="8"/>
  <c r="S173" i="8"/>
  <c r="U173" i="8" s="1"/>
  <c r="V172" i="8"/>
  <c r="T172" i="8"/>
  <c r="S172" i="8"/>
  <c r="U172" i="8" s="1"/>
  <c r="V171" i="8"/>
  <c r="U171" i="8"/>
  <c r="W171" i="8" s="1"/>
  <c r="T171" i="8"/>
  <c r="S171" i="8"/>
  <c r="V170" i="8"/>
  <c r="U170" i="8"/>
  <c r="W170" i="8" s="1"/>
  <c r="T170" i="8"/>
  <c r="S170" i="8"/>
  <c r="V169" i="8"/>
  <c r="T169" i="8"/>
  <c r="S169" i="8"/>
  <c r="U169" i="8" s="1"/>
  <c r="W169" i="8" s="1"/>
  <c r="V168" i="8"/>
  <c r="T168" i="8"/>
  <c r="S168" i="8"/>
  <c r="U168" i="8" s="1"/>
  <c r="W168" i="8" s="1"/>
  <c r="V167" i="8"/>
  <c r="T167" i="8"/>
  <c r="S167" i="8"/>
  <c r="U167" i="8" s="1"/>
  <c r="V166" i="8"/>
  <c r="T166" i="8"/>
  <c r="S166" i="8"/>
  <c r="U166" i="8" s="1"/>
  <c r="V165" i="8"/>
  <c r="T165" i="8"/>
  <c r="S165" i="8"/>
  <c r="U165" i="8" s="1"/>
  <c r="V164" i="8"/>
  <c r="T164" i="8"/>
  <c r="S164" i="8"/>
  <c r="U164" i="8" s="1"/>
  <c r="V163" i="8"/>
  <c r="T163" i="8"/>
  <c r="S163" i="8"/>
  <c r="U163" i="8" s="1"/>
  <c r="V162" i="8"/>
  <c r="T162" i="8"/>
  <c r="S162" i="8"/>
  <c r="U162" i="8" s="1"/>
  <c r="V161" i="8"/>
  <c r="T161" i="8"/>
  <c r="S161" i="8"/>
  <c r="U161" i="8" s="1"/>
  <c r="V160" i="8"/>
  <c r="T160" i="8"/>
  <c r="S160" i="8"/>
  <c r="U160" i="8" s="1"/>
  <c r="V159" i="8"/>
  <c r="T159" i="8"/>
  <c r="S159" i="8"/>
  <c r="U159" i="8" s="1"/>
  <c r="W159" i="8" s="1"/>
  <c r="V158" i="8"/>
  <c r="T158" i="8"/>
  <c r="S158" i="8"/>
  <c r="U158" i="8" s="1"/>
  <c r="W158" i="8" s="1"/>
  <c r="V157" i="8"/>
  <c r="T157" i="8"/>
  <c r="S157" i="8"/>
  <c r="U157" i="8" s="1"/>
  <c r="V156" i="8"/>
  <c r="T156" i="8"/>
  <c r="S156" i="8"/>
  <c r="U156" i="8" s="1"/>
  <c r="V155" i="8"/>
  <c r="U155" i="8"/>
  <c r="W155" i="8" s="1"/>
  <c r="T155" i="8"/>
  <c r="S155" i="8"/>
  <c r="V147" i="8"/>
  <c r="S147" i="8"/>
  <c r="U147" i="8" s="1"/>
  <c r="V146" i="8"/>
  <c r="S146" i="8"/>
  <c r="U146" i="8" s="1"/>
  <c r="V145" i="8"/>
  <c r="S145" i="8"/>
  <c r="U145" i="8" s="1"/>
  <c r="V144" i="8"/>
  <c r="S144" i="8"/>
  <c r="U144" i="8" s="1"/>
  <c r="V143" i="8"/>
  <c r="S143" i="8"/>
  <c r="U143" i="8" s="1"/>
  <c r="V142" i="8"/>
  <c r="S142" i="8"/>
  <c r="U142" i="8" s="1"/>
  <c r="V141" i="8"/>
  <c r="S141" i="8"/>
  <c r="U141" i="8" s="1"/>
  <c r="V140" i="8"/>
  <c r="U140" i="8"/>
  <c r="S140" i="8"/>
  <c r="V139" i="8"/>
  <c r="S139" i="8"/>
  <c r="U139" i="8" s="1"/>
  <c r="V138" i="8"/>
  <c r="S138" i="8"/>
  <c r="U138" i="8" s="1"/>
  <c r="V137" i="8"/>
  <c r="S137" i="8"/>
  <c r="U137" i="8" s="1"/>
  <c r="V136" i="8"/>
  <c r="S136" i="8"/>
  <c r="U136" i="8" s="1"/>
  <c r="V135" i="8"/>
  <c r="S135" i="8"/>
  <c r="U135" i="8" s="1"/>
  <c r="V134" i="8"/>
  <c r="S134" i="8"/>
  <c r="U134" i="8" s="1"/>
  <c r="V133" i="8"/>
  <c r="S133" i="8"/>
  <c r="U133" i="8" s="1"/>
  <c r="V132" i="8"/>
  <c r="S132" i="8"/>
  <c r="U132" i="8" s="1"/>
  <c r="X132" i="8" s="1"/>
  <c r="V131" i="8"/>
  <c r="S131" i="8"/>
  <c r="U131" i="8" s="1"/>
  <c r="V130" i="8"/>
  <c r="S130" i="8"/>
  <c r="U130" i="8" s="1"/>
  <c r="X130" i="8" s="1"/>
  <c r="V129" i="8"/>
  <c r="S129" i="8"/>
  <c r="U129" i="8" s="1"/>
  <c r="V128" i="8"/>
  <c r="S128" i="8"/>
  <c r="U128" i="8" s="1"/>
  <c r="X128" i="8" s="1"/>
  <c r="X134" i="8" l="1"/>
  <c r="X136" i="8"/>
  <c r="X138" i="8"/>
  <c r="W157" i="8"/>
  <c r="W161" i="8"/>
  <c r="W167" i="8"/>
  <c r="W184" i="8"/>
  <c r="W190" i="8"/>
  <c r="W200" i="8"/>
  <c r="X140" i="8"/>
  <c r="X142" i="8"/>
  <c r="X144" i="8"/>
  <c r="X146" i="8"/>
  <c r="W160" i="8"/>
  <c r="W162" i="8"/>
  <c r="W163" i="8"/>
  <c r="W166" i="8"/>
  <c r="W183" i="8"/>
  <c r="W185" i="8"/>
  <c r="W186" i="8"/>
  <c r="W189" i="8"/>
  <c r="W199" i="8"/>
  <c r="W201" i="8"/>
  <c r="W156" i="8"/>
  <c r="W164" i="8"/>
  <c r="W172" i="8"/>
  <c r="W187" i="8"/>
  <c r="W195" i="8"/>
  <c r="W165" i="8"/>
  <c r="W173" i="8"/>
  <c r="W188" i="8"/>
  <c r="W196" i="8"/>
  <c r="X133" i="8"/>
  <c r="W133" i="8"/>
  <c r="X141" i="8"/>
  <c r="W141" i="8"/>
  <c r="X131" i="8"/>
  <c r="W131" i="8"/>
  <c r="X139" i="8"/>
  <c r="W139" i="8"/>
  <c r="X147" i="8"/>
  <c r="W147" i="8"/>
  <c r="X129" i="8"/>
  <c r="W129" i="8"/>
  <c r="X137" i="8"/>
  <c r="W137" i="8"/>
  <c r="X145" i="8"/>
  <c r="W145" i="8"/>
  <c r="X135" i="8"/>
  <c r="W135" i="8"/>
  <c r="X143" i="8"/>
  <c r="W143" i="8"/>
  <c r="W128" i="8"/>
  <c r="W132" i="8"/>
  <c r="W140" i="8"/>
  <c r="W146" i="8"/>
  <c r="W130" i="8"/>
  <c r="W134" i="8"/>
  <c r="W136" i="8"/>
  <c r="W138" i="8"/>
  <c r="W142" i="8"/>
  <c r="W144" i="8"/>
  <c r="V292" i="8" l="1"/>
  <c r="S292" i="8"/>
  <c r="V301" i="8"/>
  <c r="S301" i="8"/>
  <c r="V300" i="8"/>
  <c r="S300" i="8"/>
  <c r="W300" i="8" s="1"/>
  <c r="V299" i="8"/>
  <c r="S299" i="8"/>
  <c r="X299" i="8" s="1"/>
  <c r="V298" i="8"/>
  <c r="S298" i="8"/>
  <c r="W298" i="8" s="1"/>
  <c r="V297" i="8"/>
  <c r="S297" i="8"/>
  <c r="V296" i="8"/>
  <c r="S296" i="8"/>
  <c r="W296" i="8" s="1"/>
  <c r="V295" i="8"/>
  <c r="S295" i="8"/>
  <c r="X295" i="8" s="1"/>
  <c r="V294" i="8"/>
  <c r="S294" i="8"/>
  <c r="W294" i="8" s="1"/>
  <c r="V293" i="8"/>
  <c r="S293" i="8"/>
  <c r="X292" i="8"/>
  <c r="V277" i="8"/>
  <c r="V278" i="8"/>
  <c r="V279" i="8"/>
  <c r="V280" i="8"/>
  <c r="V281" i="8"/>
  <c r="V282" i="8"/>
  <c r="V283" i="8"/>
  <c r="V284" i="8"/>
  <c r="S275" i="8"/>
  <c r="S284" i="8"/>
  <c r="W284" i="8" s="1"/>
  <c r="S283" i="8"/>
  <c r="S282" i="8"/>
  <c r="S281" i="8"/>
  <c r="X281" i="8" s="1"/>
  <c r="S280" i="8"/>
  <c r="X280" i="8" s="1"/>
  <c r="S279" i="8"/>
  <c r="X279" i="8" s="1"/>
  <c r="S278" i="8"/>
  <c r="S277" i="8"/>
  <c r="X277" i="8" s="1"/>
  <c r="S276" i="8"/>
  <c r="V276" i="8" s="1"/>
  <c r="X276" i="8" s="1"/>
  <c r="AF17" i="2"/>
  <c r="K74" i="2" s="1"/>
  <c r="P25" i="6" s="1"/>
  <c r="AF15" i="2"/>
  <c r="K37" i="2" s="1"/>
  <c r="AC11" i="2"/>
  <c r="AE29" i="2"/>
  <c r="AE28" i="2"/>
  <c r="AE27" i="2"/>
  <c r="AE25" i="2"/>
  <c r="AC30" i="2"/>
  <c r="AC29" i="2"/>
  <c r="AC28" i="2"/>
  <c r="AC27" i="2"/>
  <c r="AC25" i="2"/>
  <c r="X293" i="8" l="1"/>
  <c r="X297" i="8"/>
  <c r="X301" i="8"/>
  <c r="W292" i="8"/>
  <c r="X283" i="8"/>
  <c r="X278" i="8"/>
  <c r="W282" i="8"/>
  <c r="W280" i="8"/>
  <c r="X284" i="8"/>
  <c r="X300" i="8"/>
  <c r="W283" i="8"/>
  <c r="W279" i="8"/>
  <c r="W293" i="8"/>
  <c r="W297" i="8"/>
  <c r="W301" i="8"/>
  <c r="X282" i="8"/>
  <c r="W278" i="8"/>
  <c r="X294" i="8"/>
  <c r="X298" i="8"/>
  <c r="W281" i="8"/>
  <c r="W277" i="8"/>
  <c r="W295" i="8"/>
  <c r="W299" i="8"/>
  <c r="X296" i="8"/>
  <c r="X302" i="8" s="1"/>
  <c r="V275" i="8"/>
  <c r="W275" i="8" s="1"/>
  <c r="W276" i="8"/>
  <c r="W302" i="8" l="1"/>
  <c r="X275" i="8"/>
  <c r="O285" i="8" s="1"/>
  <c r="N285" i="8"/>
  <c r="W285" i="8"/>
  <c r="O302" i="8"/>
  <c r="N302" i="8"/>
  <c r="H301" i="8"/>
  <c r="I301" i="8" s="1"/>
  <c r="G301" i="8"/>
  <c r="H300" i="8"/>
  <c r="I300" i="8" s="1"/>
  <c r="G300" i="8"/>
  <c r="H299" i="8"/>
  <c r="I299" i="8" s="1"/>
  <c r="G299" i="8"/>
  <c r="H298" i="8"/>
  <c r="I298" i="8" s="1"/>
  <c r="G298" i="8"/>
  <c r="H297" i="8"/>
  <c r="I297" i="8" s="1"/>
  <c r="G297" i="8"/>
  <c r="H296" i="8"/>
  <c r="I296" i="8" s="1"/>
  <c r="G296" i="8"/>
  <c r="H295" i="8"/>
  <c r="I295" i="8" s="1"/>
  <c r="G295" i="8"/>
  <c r="H294" i="8"/>
  <c r="I294" i="8" s="1"/>
  <c r="G294" i="8"/>
  <c r="H293" i="8"/>
  <c r="I293" i="8" s="1"/>
  <c r="G293" i="8"/>
  <c r="H292" i="8"/>
  <c r="G292" i="8"/>
  <c r="G291" i="8"/>
  <c r="H291" i="8" s="1"/>
  <c r="I291" i="8" s="1"/>
  <c r="H284" i="8"/>
  <c r="I284" i="8" s="1"/>
  <c r="G284" i="8"/>
  <c r="H283" i="8"/>
  <c r="I283" i="8" s="1"/>
  <c r="G283" i="8"/>
  <c r="H282" i="8"/>
  <c r="I282" i="8" s="1"/>
  <c r="G282" i="8"/>
  <c r="H281" i="8"/>
  <c r="I281" i="8" s="1"/>
  <c r="G281" i="8"/>
  <c r="H280" i="8"/>
  <c r="I280" i="8" s="1"/>
  <c r="G280" i="8"/>
  <c r="H279" i="8"/>
  <c r="I279" i="8" s="1"/>
  <c r="G279" i="8"/>
  <c r="H278" i="8"/>
  <c r="G278" i="8"/>
  <c r="H277" i="8"/>
  <c r="I277" i="8" s="1"/>
  <c r="G277" i="8"/>
  <c r="H276" i="8"/>
  <c r="I276" i="8" s="1"/>
  <c r="G276" i="8"/>
  <c r="G275" i="8"/>
  <c r="H275" i="8" s="1"/>
  <c r="I275" i="8" s="1"/>
  <c r="G274" i="8"/>
  <c r="H274" i="8" s="1"/>
  <c r="I274" i="8" s="1"/>
  <c r="X285" i="8" l="1"/>
  <c r="H302" i="8"/>
  <c r="I292" i="8"/>
  <c r="I302" i="8" s="1"/>
  <c r="H285" i="8"/>
  <c r="K78" i="6" s="1"/>
  <c r="I278" i="8"/>
  <c r="I285" i="8" s="1"/>
  <c r="L78" i="6" s="1"/>
  <c r="B39" i="5"/>
  <c r="D22" i="5"/>
  <c r="AC9" i="2"/>
  <c r="AF11" i="2" s="1"/>
  <c r="AI11" i="2" l="1"/>
  <c r="L32" i="2" s="1"/>
  <c r="AH9" i="2"/>
  <c r="K31" i="2" s="1"/>
  <c r="AF13" i="2"/>
  <c r="A33" i="2" s="1"/>
  <c r="A24" i="5" s="1"/>
  <c r="AI9" i="2"/>
  <c r="L31" i="2" s="1"/>
  <c r="AG13" i="2"/>
  <c r="D33" i="2" s="1"/>
  <c r="A32" i="2"/>
  <c r="A23" i="5" s="1"/>
  <c r="AG11" i="2"/>
  <c r="D32" i="2" s="1"/>
  <c r="AH11" i="2"/>
  <c r="K32" i="2" s="1"/>
  <c r="J23" i="5" s="1"/>
  <c r="AI13" i="2"/>
  <c r="L33" i="2" s="1"/>
  <c r="AH13" i="2"/>
  <c r="K33" i="2" s="1"/>
  <c r="J24" i="5" s="1"/>
  <c r="AF9" i="2"/>
  <c r="A31" i="2" s="1"/>
  <c r="AG9" i="2"/>
  <c r="D31" i="2" s="1"/>
  <c r="N4" i="4"/>
  <c r="N5" i="4"/>
  <c r="N6" i="4"/>
  <c r="N7" i="4"/>
  <c r="N8" i="4"/>
  <c r="N9" i="4"/>
  <c r="N10" i="4"/>
  <c r="N11" i="4"/>
  <c r="N12" i="4"/>
  <c r="N13" i="4"/>
  <c r="M4" i="4"/>
  <c r="M5" i="4"/>
  <c r="M6" i="4"/>
  <c r="M7" i="4"/>
  <c r="M8" i="4"/>
  <c r="M9" i="4"/>
  <c r="M10" i="4"/>
  <c r="M11" i="4"/>
  <c r="M12" i="4"/>
  <c r="M13" i="4"/>
  <c r="M3" i="4"/>
  <c r="W23" i="5" l="1"/>
  <c r="L23" i="5"/>
  <c r="W24" i="5"/>
  <c r="L24" i="5"/>
  <c r="K34" i="2"/>
  <c r="G24" i="10"/>
  <c r="J194" i="7" l="1"/>
  <c r="J195" i="7"/>
  <c r="J196" i="7"/>
  <c r="J197" i="7"/>
  <c r="J198" i="7"/>
  <c r="J199" i="7"/>
  <c r="J200" i="7"/>
  <c r="J201" i="7"/>
  <c r="K122" i="6" l="1"/>
  <c r="K121" i="6"/>
  <c r="I50" i="8" l="1"/>
  <c r="H50" i="8" s="1"/>
  <c r="G50" i="8" s="1"/>
  <c r="G129" i="8" l="1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28" i="8"/>
  <c r="G127" i="8"/>
  <c r="Q396" i="9" l="1"/>
  <c r="J396" i="9"/>
  <c r="I396" i="9" s="1"/>
  <c r="H396" i="9" s="1"/>
  <c r="P393" i="9"/>
  <c r="Q393" i="9" s="1"/>
  <c r="J393" i="9" s="1"/>
  <c r="I393" i="9" s="1"/>
  <c r="H393" i="9" s="1"/>
  <c r="P394" i="9"/>
  <c r="Q394" i="9" s="1"/>
  <c r="J394" i="9" s="1"/>
  <c r="I394" i="9" s="1"/>
  <c r="H394" i="9" s="1"/>
  <c r="P395" i="9"/>
  <c r="Q395" i="9" s="1"/>
  <c r="J395" i="9" s="1"/>
  <c r="I395" i="9" s="1"/>
  <c r="H395" i="9" s="1"/>
  <c r="P396" i="9"/>
  <c r="P392" i="9"/>
  <c r="Q392" i="9" s="1"/>
  <c r="P385" i="9"/>
  <c r="Q385" i="9" s="1"/>
  <c r="J392" i="9" l="1"/>
  <c r="I392" i="9" s="1"/>
  <c r="H392" i="9" s="1"/>
  <c r="P386" i="9" l="1"/>
  <c r="Q386" i="9" s="1"/>
  <c r="J386" i="9" s="1"/>
  <c r="I386" i="9" s="1"/>
  <c r="H386" i="9" s="1"/>
  <c r="P387" i="9"/>
  <c r="Q387" i="9" s="1"/>
  <c r="J387" i="9" s="1"/>
  <c r="I387" i="9" s="1"/>
  <c r="H387" i="9" s="1"/>
  <c r="P388" i="9"/>
  <c r="Q388" i="9" s="1"/>
  <c r="J388" i="9" s="1"/>
  <c r="I388" i="9" s="1"/>
  <c r="H388" i="9" s="1"/>
  <c r="P389" i="9"/>
  <c r="Q389" i="9" s="1"/>
  <c r="J389" i="9" s="1"/>
  <c r="I389" i="9" s="1"/>
  <c r="H389" i="9" s="1"/>
  <c r="J385" i="9"/>
  <c r="I385" i="9" s="1"/>
  <c r="H385" i="9" s="1"/>
  <c r="M385" i="9"/>
  <c r="V79" i="8" l="1"/>
  <c r="W79" i="8" s="1"/>
  <c r="I79" i="8" s="1"/>
  <c r="H79" i="8" s="1"/>
  <c r="G79" i="8" s="1"/>
  <c r="V78" i="8"/>
  <c r="W78" i="8" s="1"/>
  <c r="I78" i="8" s="1"/>
  <c r="H78" i="8" s="1"/>
  <c r="G78" i="8" s="1"/>
  <c r="V77" i="8"/>
  <c r="W77" i="8" s="1"/>
  <c r="I77" i="8" s="1"/>
  <c r="H77" i="8" s="1"/>
  <c r="G77" i="8" s="1"/>
  <c r="V76" i="8"/>
  <c r="W76" i="8" s="1"/>
  <c r="I76" i="8" s="1"/>
  <c r="H76" i="8" s="1"/>
  <c r="G76" i="8" s="1"/>
  <c r="V75" i="8"/>
  <c r="W75" i="8" s="1"/>
  <c r="I75" i="8" s="1"/>
  <c r="H75" i="8" s="1"/>
  <c r="G75" i="8" s="1"/>
  <c r="V70" i="8"/>
  <c r="W70" i="8" s="1"/>
  <c r="I70" i="8" s="1"/>
  <c r="H70" i="8" s="1"/>
  <c r="G70" i="8" s="1"/>
  <c r="V69" i="8"/>
  <c r="W69" i="8" s="1"/>
  <c r="I69" i="8" s="1"/>
  <c r="H69" i="8" s="1"/>
  <c r="G69" i="8" s="1"/>
  <c r="V68" i="8"/>
  <c r="W68" i="8" s="1"/>
  <c r="I68" i="8" s="1"/>
  <c r="H68" i="8" s="1"/>
  <c r="G68" i="8" s="1"/>
  <c r="V67" i="8"/>
  <c r="W67" i="8" s="1"/>
  <c r="I67" i="8" s="1"/>
  <c r="H67" i="8" s="1"/>
  <c r="G67" i="8" s="1"/>
  <c r="V66" i="8"/>
  <c r="W66" i="8" s="1"/>
  <c r="I66" i="8" s="1"/>
  <c r="H66" i="8" s="1"/>
  <c r="G66" i="8" s="1"/>
  <c r="V41" i="8" l="1"/>
  <c r="W41" i="8" s="1"/>
  <c r="I41" i="8" s="1"/>
  <c r="H41" i="8" s="1"/>
  <c r="G41" i="8" s="1"/>
  <c r="V49" i="8"/>
  <c r="W49" i="8" s="1"/>
  <c r="I49" i="8" s="1"/>
  <c r="H49" i="8" s="1"/>
  <c r="G49" i="8" s="1"/>
  <c r="V48" i="8"/>
  <c r="W48" i="8" s="1"/>
  <c r="I48" i="8" s="1"/>
  <c r="H48" i="8" s="1"/>
  <c r="G48" i="8" s="1"/>
  <c r="V47" i="8"/>
  <c r="W47" i="8" s="1"/>
  <c r="I47" i="8" s="1"/>
  <c r="H47" i="8" s="1"/>
  <c r="G47" i="8" s="1"/>
  <c r="V46" i="8"/>
  <c r="W46" i="8" s="1"/>
  <c r="I46" i="8" s="1"/>
  <c r="H46" i="8" s="1"/>
  <c r="G46" i="8" s="1"/>
  <c r="V45" i="8"/>
  <c r="W45" i="8" s="1"/>
  <c r="I45" i="8" s="1"/>
  <c r="H45" i="8" s="1"/>
  <c r="G45" i="8" s="1"/>
  <c r="V44" i="8"/>
  <c r="W44" i="8" s="1"/>
  <c r="I44" i="8" s="1"/>
  <c r="H44" i="8" s="1"/>
  <c r="G44" i="8" s="1"/>
  <c r="V43" i="8"/>
  <c r="W43" i="8" s="1"/>
  <c r="I43" i="8" s="1"/>
  <c r="H43" i="8" s="1"/>
  <c r="G43" i="8" s="1"/>
  <c r="V42" i="8"/>
  <c r="W42" i="8" s="1"/>
  <c r="I42" i="8" s="1"/>
  <c r="H42" i="8" s="1"/>
  <c r="G42" i="8" s="1"/>
  <c r="V23" i="8"/>
  <c r="W23" i="8" s="1"/>
  <c r="I23" i="8" s="1"/>
  <c r="H23" i="8" s="1"/>
  <c r="G23" i="8" s="1"/>
  <c r="V24" i="8"/>
  <c r="W24" i="8" s="1"/>
  <c r="I24" i="8" s="1"/>
  <c r="H24" i="8" s="1"/>
  <c r="G24" i="8" s="1"/>
  <c r="V25" i="8"/>
  <c r="W25" i="8" s="1"/>
  <c r="I25" i="8" s="1"/>
  <c r="H25" i="8" s="1"/>
  <c r="G25" i="8" s="1"/>
  <c r="V26" i="8"/>
  <c r="W26" i="8" s="1"/>
  <c r="I26" i="8" s="1"/>
  <c r="H26" i="8" s="1"/>
  <c r="G26" i="8" s="1"/>
  <c r="V27" i="8"/>
  <c r="W27" i="8" s="1"/>
  <c r="I27" i="8" s="1"/>
  <c r="H27" i="8" s="1"/>
  <c r="G27" i="8" s="1"/>
  <c r="V28" i="8"/>
  <c r="W28" i="8" s="1"/>
  <c r="I28" i="8" s="1"/>
  <c r="H28" i="8" s="1"/>
  <c r="G28" i="8" s="1"/>
  <c r="V29" i="8"/>
  <c r="W29" i="8" s="1"/>
  <c r="I29" i="8" s="1"/>
  <c r="H29" i="8" s="1"/>
  <c r="G29" i="8" s="1"/>
  <c r="V30" i="8"/>
  <c r="W30" i="8" s="1"/>
  <c r="I30" i="8" s="1"/>
  <c r="H30" i="8" s="1"/>
  <c r="G30" i="8" s="1"/>
  <c r="V31" i="8"/>
  <c r="W31" i="8" s="1"/>
  <c r="I31" i="8" s="1"/>
  <c r="H31" i="8" s="1"/>
  <c r="G31" i="8" s="1"/>
  <c r="V32" i="8"/>
  <c r="W32" i="8" s="1"/>
  <c r="I32" i="8" s="1"/>
  <c r="H32" i="8" s="1"/>
  <c r="G32" i="8" s="1"/>
  <c r="V33" i="8"/>
  <c r="W33" i="8" s="1"/>
  <c r="I33" i="8" s="1"/>
  <c r="H33" i="8" s="1"/>
  <c r="G33" i="8" s="1"/>
  <c r="V34" i="8"/>
  <c r="W34" i="8" s="1"/>
  <c r="I34" i="8" s="1"/>
  <c r="H34" i="8" s="1"/>
  <c r="G34" i="8" s="1"/>
  <c r="V35" i="8"/>
  <c r="W35" i="8" s="1"/>
  <c r="I35" i="8" s="1"/>
  <c r="H35" i="8" s="1"/>
  <c r="G35" i="8" s="1"/>
  <c r="V36" i="8"/>
  <c r="W36" i="8" s="1"/>
  <c r="I36" i="8" s="1"/>
  <c r="H36" i="8" s="1"/>
  <c r="G36" i="8" s="1"/>
  <c r="V22" i="8"/>
  <c r="W22" i="8" s="1"/>
  <c r="I22" i="8" s="1"/>
  <c r="H22" i="8" s="1"/>
  <c r="G22" i="8" s="1"/>
  <c r="G255" i="8" l="1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O229" i="8"/>
  <c r="H228" i="8"/>
  <c r="I228" i="8" s="1"/>
  <c r="G228" i="8"/>
  <c r="H227" i="8"/>
  <c r="I227" i="8" s="1"/>
  <c r="G227" i="8"/>
  <c r="H226" i="8"/>
  <c r="I226" i="8" s="1"/>
  <c r="G226" i="8"/>
  <c r="H225" i="8"/>
  <c r="I225" i="8" s="1"/>
  <c r="G225" i="8"/>
  <c r="H224" i="8"/>
  <c r="I224" i="8" s="1"/>
  <c r="G224" i="8"/>
  <c r="H223" i="8"/>
  <c r="I223" i="8" s="1"/>
  <c r="G223" i="8"/>
  <c r="H222" i="8"/>
  <c r="I222" i="8" s="1"/>
  <c r="G222" i="8"/>
  <c r="H221" i="8"/>
  <c r="I221" i="8" s="1"/>
  <c r="G221" i="8"/>
  <c r="H220" i="8"/>
  <c r="G220" i="8"/>
  <c r="T22" i="8"/>
  <c r="S22" i="8"/>
  <c r="I220" i="8" l="1"/>
  <c r="U22" i="8"/>
  <c r="H327" i="9"/>
  <c r="H328" i="9"/>
  <c r="H329" i="9"/>
  <c r="H330" i="9"/>
  <c r="H331" i="9"/>
  <c r="H332" i="9"/>
  <c r="H333" i="9"/>
  <c r="H334" i="9"/>
  <c r="H335" i="9"/>
  <c r="H326" i="9"/>
  <c r="H312" i="9"/>
  <c r="H313" i="9"/>
  <c r="H314" i="9"/>
  <c r="H315" i="9"/>
  <c r="H316" i="9"/>
  <c r="H317" i="9"/>
  <c r="H318" i="9"/>
  <c r="H319" i="9"/>
  <c r="H320" i="9"/>
  <c r="H311" i="9"/>
  <c r="H293" i="9"/>
  <c r="H294" i="9"/>
  <c r="H295" i="9"/>
  <c r="H296" i="9"/>
  <c r="H297" i="9"/>
  <c r="H298" i="9"/>
  <c r="H299" i="9"/>
  <c r="H300" i="9"/>
  <c r="H301" i="9"/>
  <c r="H292" i="9"/>
  <c r="H278" i="9"/>
  <c r="H279" i="9"/>
  <c r="H280" i="9"/>
  <c r="H281" i="9"/>
  <c r="H282" i="9"/>
  <c r="H283" i="9"/>
  <c r="H284" i="9"/>
  <c r="H285" i="9"/>
  <c r="H286" i="9"/>
  <c r="I286" i="9" s="1"/>
  <c r="H277" i="9"/>
  <c r="I88" i="9"/>
  <c r="I89" i="9"/>
  <c r="I90" i="9"/>
  <c r="I91" i="9"/>
  <c r="I87" i="9"/>
  <c r="J251" i="7" l="1"/>
  <c r="S66" i="8"/>
  <c r="I457" i="9"/>
  <c r="I447" i="9"/>
  <c r="I446" i="9"/>
  <c r="I435" i="9"/>
  <c r="I424" i="9"/>
  <c r="I413" i="9"/>
  <c r="I402" i="9"/>
  <c r="I361" i="9" l="1"/>
  <c r="I350" i="9"/>
  <c r="I342" i="9"/>
  <c r="I312" i="9"/>
  <c r="I313" i="9"/>
  <c r="I314" i="9"/>
  <c r="I315" i="9"/>
  <c r="I316" i="9"/>
  <c r="I317" i="9"/>
  <c r="I318" i="9"/>
  <c r="I319" i="9"/>
  <c r="I320" i="9"/>
  <c r="I311" i="9"/>
  <c r="I277" i="9"/>
  <c r="I278" i="9"/>
  <c r="I279" i="9"/>
  <c r="I280" i="9"/>
  <c r="I281" i="9"/>
  <c r="I282" i="9"/>
  <c r="I283" i="9"/>
  <c r="I284" i="9"/>
  <c r="I285" i="9"/>
  <c r="I265" i="9"/>
  <c r="I248" i="9"/>
  <c r="I236" i="9"/>
  <c r="I225" i="9"/>
  <c r="I214" i="9"/>
  <c r="I203" i="9"/>
  <c r="I175" i="9"/>
  <c r="I164" i="9"/>
  <c r="I121" i="9"/>
  <c r="I99" i="9"/>
  <c r="I100" i="9"/>
  <c r="I101" i="9"/>
  <c r="I102" i="9"/>
  <c r="I98" i="9"/>
  <c r="I77" i="9"/>
  <c r="I78" i="9"/>
  <c r="I79" i="9"/>
  <c r="I80" i="9"/>
  <c r="I76" i="9"/>
  <c r="I61" i="9"/>
  <c r="I62" i="9"/>
  <c r="I63" i="9"/>
  <c r="I64" i="9"/>
  <c r="I65" i="9"/>
  <c r="I66" i="9"/>
  <c r="I67" i="9"/>
  <c r="I68" i="9"/>
  <c r="I69" i="9"/>
  <c r="I60" i="9"/>
  <c r="I50" i="9"/>
  <c r="I51" i="9"/>
  <c r="I52" i="9"/>
  <c r="I53" i="9"/>
  <c r="I49" i="9"/>
  <c r="I29" i="9"/>
  <c r="I30" i="9"/>
  <c r="I31" i="9"/>
  <c r="I32" i="9"/>
  <c r="I33" i="9"/>
  <c r="J33" i="9" s="1"/>
  <c r="I34" i="9"/>
  <c r="J34" i="9" s="1"/>
  <c r="I35" i="9"/>
  <c r="J35" i="9" s="1"/>
  <c r="I36" i="9"/>
  <c r="J36" i="9" s="1"/>
  <c r="I37" i="9"/>
  <c r="I38" i="9"/>
  <c r="I39" i="9"/>
  <c r="J39" i="9" s="1"/>
  <c r="I40" i="9"/>
  <c r="J40" i="9" s="1"/>
  <c r="I41" i="9"/>
  <c r="J41" i="9" s="1"/>
  <c r="I42" i="9"/>
  <c r="J42" i="9" s="1"/>
  <c r="I28" i="9"/>
  <c r="I18" i="9"/>
  <c r="I19" i="9"/>
  <c r="I20" i="9"/>
  <c r="I21" i="9"/>
  <c r="I17" i="9"/>
  <c r="N450" i="9"/>
  <c r="M450" i="9"/>
  <c r="I450" i="9"/>
  <c r="J450" i="9" s="1"/>
  <c r="N449" i="9"/>
  <c r="M449" i="9"/>
  <c r="I449" i="9"/>
  <c r="J449" i="9" s="1"/>
  <c r="N448" i="9"/>
  <c r="M448" i="9"/>
  <c r="I448" i="9"/>
  <c r="J448" i="9" s="1"/>
  <c r="N447" i="9"/>
  <c r="M447" i="9"/>
  <c r="J447" i="9"/>
  <c r="N446" i="9"/>
  <c r="M446" i="9"/>
  <c r="N42" i="9"/>
  <c r="M42" i="9"/>
  <c r="N41" i="9"/>
  <c r="M41" i="9"/>
  <c r="N40" i="9"/>
  <c r="M40" i="9"/>
  <c r="N39" i="9"/>
  <c r="M39" i="9"/>
  <c r="N38" i="9"/>
  <c r="M38" i="9"/>
  <c r="J38" i="9"/>
  <c r="N37" i="9"/>
  <c r="M37" i="9"/>
  <c r="J37" i="9"/>
  <c r="N36" i="9"/>
  <c r="M36" i="9"/>
  <c r="N35" i="9"/>
  <c r="M35" i="9"/>
  <c r="N34" i="9"/>
  <c r="M34" i="9"/>
  <c r="N33" i="9"/>
  <c r="M33" i="9"/>
  <c r="T79" i="8"/>
  <c r="S79" i="8"/>
  <c r="T78" i="8"/>
  <c r="S78" i="8"/>
  <c r="T77" i="8"/>
  <c r="S77" i="8"/>
  <c r="T76" i="8"/>
  <c r="S76" i="8"/>
  <c r="T75" i="8"/>
  <c r="S75" i="8"/>
  <c r="T70" i="8"/>
  <c r="S70" i="8"/>
  <c r="T69" i="8"/>
  <c r="S69" i="8"/>
  <c r="T68" i="8"/>
  <c r="S68" i="8"/>
  <c r="T67" i="8"/>
  <c r="S67" i="8"/>
  <c r="T66" i="8"/>
  <c r="U70" i="8" l="1"/>
  <c r="O37" i="9"/>
  <c r="I80" i="8"/>
  <c r="H80" i="8"/>
  <c r="U75" i="8"/>
  <c r="O35" i="9"/>
  <c r="O41" i="9"/>
  <c r="O450" i="9"/>
  <c r="O33" i="9"/>
  <c r="O449" i="9"/>
  <c r="I451" i="9"/>
  <c r="K116" i="6" s="1"/>
  <c r="O38" i="9"/>
  <c r="O446" i="9"/>
  <c r="O34" i="9"/>
  <c r="O36" i="9"/>
  <c r="O39" i="9"/>
  <c r="O40" i="9"/>
  <c r="O42" i="9"/>
  <c r="J446" i="9"/>
  <c r="J451" i="9" s="1"/>
  <c r="L116" i="6" s="1"/>
  <c r="O447" i="9"/>
  <c r="O448" i="9"/>
  <c r="U76" i="8"/>
  <c r="U77" i="8"/>
  <c r="U79" i="8"/>
  <c r="U66" i="8"/>
  <c r="U67" i="8"/>
  <c r="U68" i="8"/>
  <c r="U69" i="8"/>
  <c r="U78" i="8"/>
  <c r="H71" i="8"/>
  <c r="I71" i="8"/>
  <c r="J147" i="7"/>
  <c r="K147" i="7" s="1"/>
  <c r="I147" i="7"/>
  <c r="H147" i="7"/>
  <c r="J146" i="7"/>
  <c r="K146" i="7" s="1"/>
  <c r="I146" i="7"/>
  <c r="H146" i="7"/>
  <c r="J145" i="7"/>
  <c r="K145" i="7" s="1"/>
  <c r="I145" i="7"/>
  <c r="H145" i="7"/>
  <c r="J144" i="7"/>
  <c r="K144" i="7" s="1"/>
  <c r="I144" i="7"/>
  <c r="H144" i="7"/>
  <c r="J143" i="7"/>
  <c r="K143" i="7" s="1"/>
  <c r="I143" i="7"/>
  <c r="H143" i="7"/>
  <c r="J142" i="7"/>
  <c r="K142" i="7" s="1"/>
  <c r="I142" i="7"/>
  <c r="H142" i="7"/>
  <c r="J141" i="7"/>
  <c r="K141" i="7" s="1"/>
  <c r="I141" i="7"/>
  <c r="H141" i="7"/>
  <c r="J140" i="7"/>
  <c r="K140" i="7" s="1"/>
  <c r="I140" i="7"/>
  <c r="H140" i="7"/>
  <c r="J139" i="7"/>
  <c r="K139" i="7" s="1"/>
  <c r="I139" i="7"/>
  <c r="H139" i="7"/>
  <c r="J138" i="7"/>
  <c r="K138" i="7" s="1"/>
  <c r="I138" i="7"/>
  <c r="H138" i="7"/>
  <c r="J65" i="7"/>
  <c r="K65" i="7" s="1"/>
  <c r="I65" i="7"/>
  <c r="H65" i="7"/>
  <c r="J64" i="7"/>
  <c r="K64" i="7" s="1"/>
  <c r="I64" i="7"/>
  <c r="H64" i="7"/>
  <c r="J63" i="7"/>
  <c r="K63" i="7" s="1"/>
  <c r="I63" i="7"/>
  <c r="H63" i="7"/>
  <c r="J62" i="7"/>
  <c r="K62" i="7" s="1"/>
  <c r="I62" i="7"/>
  <c r="H62" i="7"/>
  <c r="J61" i="7"/>
  <c r="K61" i="7" s="1"/>
  <c r="I61" i="7"/>
  <c r="H61" i="7"/>
  <c r="J60" i="7"/>
  <c r="K60" i="7" s="1"/>
  <c r="I60" i="7"/>
  <c r="H60" i="7"/>
  <c r="J59" i="7"/>
  <c r="K59" i="7" s="1"/>
  <c r="I59" i="7"/>
  <c r="H59" i="7"/>
  <c r="J58" i="7"/>
  <c r="K58" i="7" s="1"/>
  <c r="I58" i="7"/>
  <c r="H58" i="7"/>
  <c r="J57" i="7"/>
  <c r="K57" i="7" s="1"/>
  <c r="I57" i="7"/>
  <c r="H57" i="7"/>
  <c r="J56" i="7"/>
  <c r="K56" i="7" s="1"/>
  <c r="I56" i="7"/>
  <c r="H56" i="7"/>
  <c r="M71" i="8" l="1"/>
  <c r="M80" i="8"/>
  <c r="G451" i="9"/>
  <c r="I43" i="9"/>
  <c r="I63" i="12"/>
  <c r="J63" i="12" s="1"/>
  <c r="I62" i="12"/>
  <c r="J62" i="12" s="1"/>
  <c r="I61" i="12"/>
  <c r="J61" i="12" s="1"/>
  <c r="I60" i="12"/>
  <c r="J60" i="12" s="1"/>
  <c r="I59" i="12"/>
  <c r="J59" i="12" s="1"/>
  <c r="I58" i="12"/>
  <c r="J58" i="12" s="1"/>
  <c r="I35" i="12"/>
  <c r="J35" i="12" s="1"/>
  <c r="I41" i="12"/>
  <c r="J41" i="12" s="1"/>
  <c r="I42" i="12"/>
  <c r="J42" i="12" s="1"/>
  <c r="I43" i="12"/>
  <c r="J43" i="12" s="1"/>
  <c r="I44" i="12"/>
  <c r="J44" i="12" s="1"/>
  <c r="I45" i="12"/>
  <c r="J45" i="12" s="1"/>
  <c r="I40" i="12"/>
  <c r="J40" i="12" s="1"/>
  <c r="I18" i="12"/>
  <c r="I15" i="12"/>
  <c r="J15" i="12" s="1"/>
  <c r="I14" i="12"/>
  <c r="J14" i="12" s="1"/>
  <c r="I13" i="12"/>
  <c r="J13" i="12" s="1"/>
  <c r="J18" i="12"/>
  <c r="I19" i="12"/>
  <c r="J19" i="12" s="1"/>
  <c r="I20" i="12"/>
  <c r="J20" i="12" s="1"/>
  <c r="I21" i="12"/>
  <c r="J21" i="12" s="1"/>
  <c r="I23" i="12"/>
  <c r="J23" i="12" s="1"/>
  <c r="I54" i="12"/>
  <c r="J54" i="12" s="1"/>
  <c r="I53" i="12"/>
  <c r="J53" i="12" s="1"/>
  <c r="I52" i="12"/>
  <c r="J52" i="12" s="1"/>
  <c r="I51" i="12"/>
  <c r="J51" i="12" s="1"/>
  <c r="I50" i="12"/>
  <c r="J50" i="12" s="1"/>
  <c r="I34" i="12"/>
  <c r="J34" i="12" s="1"/>
  <c r="I33" i="12"/>
  <c r="J33" i="12" s="1"/>
  <c r="I32" i="12"/>
  <c r="J32" i="12" s="1"/>
  <c r="I31" i="12"/>
  <c r="J31" i="12" s="1"/>
  <c r="I30" i="12"/>
  <c r="J30" i="12" s="1"/>
  <c r="I29" i="12"/>
  <c r="J29" i="12" s="1"/>
  <c r="I22" i="12"/>
  <c r="J22" i="12" s="1"/>
  <c r="I12" i="12"/>
  <c r="J12" i="12" s="1"/>
  <c r="I11" i="12"/>
  <c r="J11" i="12" s="1"/>
  <c r="I10" i="12"/>
  <c r="J10" i="12" s="1"/>
  <c r="I9" i="12"/>
  <c r="J9" i="12" s="1"/>
  <c r="I8" i="12"/>
  <c r="J8" i="12" s="1"/>
  <c r="I191" i="7" l="1"/>
  <c r="J191" i="7" s="1"/>
  <c r="I193" i="7" l="1"/>
  <c r="I194" i="7"/>
  <c r="I195" i="7"/>
  <c r="I196" i="7"/>
  <c r="I197" i="7"/>
  <c r="I198" i="7"/>
  <c r="I199" i="7"/>
  <c r="I200" i="7"/>
  <c r="I201" i="7"/>
  <c r="I192" i="7"/>
  <c r="E60" i="5" l="1"/>
  <c r="E59" i="5"/>
  <c r="K69" i="6"/>
  <c r="E46" i="5" s="1"/>
  <c r="K67" i="6"/>
  <c r="E44" i="5" s="1"/>
  <c r="K66" i="6"/>
  <c r="E43" i="5" s="1"/>
  <c r="K65" i="6"/>
  <c r="E42" i="5" s="1"/>
  <c r="K64" i="6"/>
  <c r="E41" i="5" s="1"/>
  <c r="K63" i="6"/>
  <c r="E40" i="5" s="1"/>
  <c r="K62" i="6"/>
  <c r="E39" i="5" s="1"/>
  <c r="D13" i="6"/>
  <c r="D12" i="6"/>
  <c r="G112" i="11"/>
  <c r="G111" i="11"/>
  <c r="G110" i="11"/>
  <c r="G109" i="11"/>
  <c r="G108" i="11"/>
  <c r="G107" i="11"/>
  <c r="G106" i="11"/>
  <c r="G99" i="11"/>
  <c r="H99" i="11" s="1"/>
  <c r="G98" i="11"/>
  <c r="H98" i="11" s="1"/>
  <c r="G97" i="11"/>
  <c r="H97" i="11" s="1"/>
  <c r="G96" i="11"/>
  <c r="H96" i="11" s="1"/>
  <c r="G95" i="11"/>
  <c r="H95" i="11" s="1"/>
  <c r="G87" i="11"/>
  <c r="H87" i="11" s="1"/>
  <c r="H86" i="11"/>
  <c r="G86" i="11"/>
  <c r="G85" i="11"/>
  <c r="H85" i="11" s="1"/>
  <c r="G84" i="11"/>
  <c r="H84" i="11" s="1"/>
  <c r="G83" i="11"/>
  <c r="H83" i="11" s="1"/>
  <c r="G82" i="11"/>
  <c r="H82" i="11" s="1"/>
  <c r="G81" i="11"/>
  <c r="H81" i="11" s="1"/>
  <c r="G80" i="11"/>
  <c r="H80" i="11" s="1"/>
  <c r="G79" i="11"/>
  <c r="H79" i="11" s="1"/>
  <c r="G78" i="11"/>
  <c r="H78" i="11" s="1"/>
  <c r="G75" i="11"/>
  <c r="H75" i="11" s="1"/>
  <c r="G74" i="11"/>
  <c r="H74" i="11" s="1"/>
  <c r="G73" i="11"/>
  <c r="H73" i="11" s="1"/>
  <c r="G72" i="11"/>
  <c r="H72" i="11" s="1"/>
  <c r="G71" i="11"/>
  <c r="H71" i="11" s="1"/>
  <c r="G70" i="11"/>
  <c r="H70" i="11" s="1"/>
  <c r="G69" i="11"/>
  <c r="H69" i="11" s="1"/>
  <c r="G68" i="11"/>
  <c r="H68" i="11" s="1"/>
  <c r="G67" i="11"/>
  <c r="H67" i="11" s="1"/>
  <c r="G66" i="11"/>
  <c r="H66" i="11" s="1"/>
  <c r="G55" i="11"/>
  <c r="H55" i="11" s="1"/>
  <c r="H54" i="11"/>
  <c r="G54" i="11"/>
  <c r="G53" i="11"/>
  <c r="H53" i="11" s="1"/>
  <c r="G52" i="11"/>
  <c r="H52" i="11" s="1"/>
  <c r="G51" i="11"/>
  <c r="H51" i="11" s="1"/>
  <c r="G50" i="11"/>
  <c r="H50" i="11" s="1"/>
  <c r="G49" i="11"/>
  <c r="H49" i="11" s="1"/>
  <c r="G48" i="11"/>
  <c r="H48" i="11" s="1"/>
  <c r="G47" i="11"/>
  <c r="H47" i="11" s="1"/>
  <c r="G46" i="11"/>
  <c r="H46" i="11" s="1"/>
  <c r="G43" i="11"/>
  <c r="H43" i="11" s="1"/>
  <c r="G42" i="11"/>
  <c r="H42" i="11" s="1"/>
  <c r="G41" i="11"/>
  <c r="H41" i="11" s="1"/>
  <c r="G40" i="11"/>
  <c r="H40" i="11" s="1"/>
  <c r="G39" i="11"/>
  <c r="H39" i="11" s="1"/>
  <c r="G38" i="11"/>
  <c r="H38" i="11" s="1"/>
  <c r="G37" i="11"/>
  <c r="H37" i="11" s="1"/>
  <c r="G36" i="11"/>
  <c r="H36" i="11" s="1"/>
  <c r="G35" i="11"/>
  <c r="H35" i="11" s="1"/>
  <c r="H34" i="11"/>
  <c r="G34" i="11"/>
  <c r="G33" i="11"/>
  <c r="H33" i="11" s="1"/>
  <c r="G32" i="11"/>
  <c r="H32" i="11" s="1"/>
  <c r="G31" i="11"/>
  <c r="H31" i="11" s="1"/>
  <c r="G30" i="11"/>
  <c r="H30" i="11" s="1"/>
  <c r="G29" i="11"/>
  <c r="H29" i="11" s="1"/>
  <c r="G28" i="11"/>
  <c r="H28" i="11" s="1"/>
  <c r="G27" i="11"/>
  <c r="H27" i="11" s="1"/>
  <c r="G26" i="11"/>
  <c r="H26" i="11" s="1"/>
  <c r="G25" i="11"/>
  <c r="H25" i="11" s="1"/>
  <c r="G24" i="11"/>
  <c r="H24" i="11" s="1"/>
  <c r="H17" i="11"/>
  <c r="L137" i="6" s="1"/>
  <c r="K137" i="6" s="1"/>
  <c r="G10" i="11"/>
  <c r="H10" i="11" s="1"/>
  <c r="G9" i="11"/>
  <c r="H9" i="11" s="1"/>
  <c r="G58" i="10"/>
  <c r="H58" i="10" s="1"/>
  <c r="G57" i="10"/>
  <c r="H57" i="10" s="1"/>
  <c r="G56" i="10"/>
  <c r="H56" i="10" s="1"/>
  <c r="G55" i="10"/>
  <c r="H55" i="10" s="1"/>
  <c r="G54" i="10"/>
  <c r="H54" i="10" s="1"/>
  <c r="G53" i="10"/>
  <c r="H53" i="10" s="1"/>
  <c r="G52" i="10"/>
  <c r="H52" i="10" s="1"/>
  <c r="G51" i="10"/>
  <c r="H51" i="10" s="1"/>
  <c r="G50" i="10"/>
  <c r="H50" i="10" s="1"/>
  <c r="G49" i="10"/>
  <c r="H49" i="10" s="1"/>
  <c r="G46" i="10"/>
  <c r="H46" i="10" s="1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H39" i="10" s="1"/>
  <c r="G38" i="10"/>
  <c r="H38" i="10" s="1"/>
  <c r="G37" i="10"/>
  <c r="H37" i="10" s="1"/>
  <c r="G32" i="10"/>
  <c r="H32" i="10" s="1"/>
  <c r="G31" i="10"/>
  <c r="H31" i="10" s="1"/>
  <c r="G30" i="10"/>
  <c r="H30" i="10" s="1"/>
  <c r="G29" i="10"/>
  <c r="H29" i="10" s="1"/>
  <c r="G28" i="10"/>
  <c r="H28" i="10" s="1"/>
  <c r="G27" i="10"/>
  <c r="H27" i="10" s="1"/>
  <c r="G26" i="10"/>
  <c r="H26" i="10" s="1"/>
  <c r="G25" i="10"/>
  <c r="H25" i="10" s="1"/>
  <c r="H24" i="10"/>
  <c r="G23" i="10"/>
  <c r="H23" i="10" s="1"/>
  <c r="G20" i="10"/>
  <c r="H20" i="10" s="1"/>
  <c r="G19" i="10"/>
  <c r="H19" i="10" s="1"/>
  <c r="G18" i="10"/>
  <c r="H18" i="10" s="1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M392" i="9"/>
  <c r="N386" i="9"/>
  <c r="N387" i="9"/>
  <c r="N388" i="9"/>
  <c r="N389" i="9"/>
  <c r="N392" i="9"/>
  <c r="N393" i="9"/>
  <c r="N394" i="9"/>
  <c r="N395" i="9"/>
  <c r="N396" i="9"/>
  <c r="N385" i="9"/>
  <c r="O385" i="9" s="1"/>
  <c r="N326" i="9"/>
  <c r="M386" i="9"/>
  <c r="M387" i="9"/>
  <c r="M388" i="9"/>
  <c r="M389" i="9"/>
  <c r="M393" i="9"/>
  <c r="M394" i="9"/>
  <c r="M395" i="9"/>
  <c r="M396" i="9"/>
  <c r="M326" i="9"/>
  <c r="N311" i="9"/>
  <c r="N312" i="9"/>
  <c r="N313" i="9"/>
  <c r="N314" i="9"/>
  <c r="N315" i="9"/>
  <c r="N316" i="9"/>
  <c r="N317" i="9"/>
  <c r="N318" i="9"/>
  <c r="N319" i="9"/>
  <c r="N320" i="9"/>
  <c r="N327" i="9"/>
  <c r="N328" i="9"/>
  <c r="N329" i="9"/>
  <c r="N330" i="9"/>
  <c r="N331" i="9"/>
  <c r="N332" i="9"/>
  <c r="N333" i="9"/>
  <c r="N334" i="9"/>
  <c r="N335" i="9"/>
  <c r="M311" i="9"/>
  <c r="M312" i="9"/>
  <c r="M313" i="9"/>
  <c r="M314" i="9"/>
  <c r="M315" i="9"/>
  <c r="M316" i="9"/>
  <c r="M317" i="9"/>
  <c r="M318" i="9"/>
  <c r="M319" i="9"/>
  <c r="M320" i="9"/>
  <c r="M327" i="9"/>
  <c r="M328" i="9"/>
  <c r="M329" i="9"/>
  <c r="M330" i="9"/>
  <c r="M331" i="9"/>
  <c r="M332" i="9"/>
  <c r="M333" i="9"/>
  <c r="M334" i="9"/>
  <c r="M335" i="9"/>
  <c r="N292" i="9"/>
  <c r="N293" i="9"/>
  <c r="N294" i="9"/>
  <c r="N295" i="9"/>
  <c r="N296" i="9"/>
  <c r="N297" i="9"/>
  <c r="N298" i="9"/>
  <c r="N299" i="9"/>
  <c r="N300" i="9"/>
  <c r="N301" i="9"/>
  <c r="M292" i="9"/>
  <c r="M293" i="9"/>
  <c r="M294" i="9"/>
  <c r="M295" i="9"/>
  <c r="M296" i="9"/>
  <c r="M297" i="9"/>
  <c r="M298" i="9"/>
  <c r="M299" i="9"/>
  <c r="M300" i="9"/>
  <c r="M301" i="9"/>
  <c r="N278" i="9"/>
  <c r="N279" i="9"/>
  <c r="N280" i="9"/>
  <c r="N281" i="9"/>
  <c r="N282" i="9"/>
  <c r="N283" i="9"/>
  <c r="N284" i="9"/>
  <c r="N285" i="9"/>
  <c r="N286" i="9"/>
  <c r="N277" i="9"/>
  <c r="N87" i="9"/>
  <c r="M278" i="9"/>
  <c r="M279" i="9"/>
  <c r="M280" i="9"/>
  <c r="M281" i="9"/>
  <c r="M282" i="9"/>
  <c r="M283" i="9"/>
  <c r="M284" i="9"/>
  <c r="M285" i="9"/>
  <c r="M286" i="9"/>
  <c r="M277" i="9"/>
  <c r="M87" i="9"/>
  <c r="N88" i="9"/>
  <c r="N89" i="9"/>
  <c r="N90" i="9"/>
  <c r="N91" i="9"/>
  <c r="N49" i="9"/>
  <c r="M88" i="9"/>
  <c r="M89" i="9"/>
  <c r="M90" i="9"/>
  <c r="M91" i="9"/>
  <c r="M49" i="9"/>
  <c r="N50" i="9"/>
  <c r="N51" i="9"/>
  <c r="N52" i="9"/>
  <c r="N53" i="9"/>
  <c r="N28" i="9"/>
  <c r="M50" i="9"/>
  <c r="M51" i="9"/>
  <c r="M52" i="9"/>
  <c r="M53" i="9"/>
  <c r="M28" i="9"/>
  <c r="N29" i="9"/>
  <c r="N30" i="9"/>
  <c r="N31" i="9"/>
  <c r="N32" i="9"/>
  <c r="N17" i="9"/>
  <c r="M29" i="9"/>
  <c r="M30" i="9"/>
  <c r="M31" i="9"/>
  <c r="M32" i="9"/>
  <c r="M17" i="9"/>
  <c r="N18" i="9"/>
  <c r="N19" i="9"/>
  <c r="N20" i="9"/>
  <c r="N21" i="9"/>
  <c r="M18" i="9"/>
  <c r="O18" i="9" s="1"/>
  <c r="M19" i="9"/>
  <c r="O19" i="9" s="1"/>
  <c r="M20" i="9"/>
  <c r="O20" i="9" s="1"/>
  <c r="M21" i="9"/>
  <c r="J22" i="5" l="1"/>
  <c r="W22" i="5" s="1"/>
  <c r="W25" i="5" s="1"/>
  <c r="A22" i="5"/>
  <c r="O277" i="9"/>
  <c r="O283" i="9"/>
  <c r="O279" i="9"/>
  <c r="O332" i="9"/>
  <c r="O328" i="9"/>
  <c r="O318" i="9"/>
  <c r="O314" i="9"/>
  <c r="O386" i="9"/>
  <c r="O396" i="9"/>
  <c r="O32" i="9"/>
  <c r="O51" i="9"/>
  <c r="O91" i="9"/>
  <c r="O21" i="9"/>
  <c r="O300" i="9"/>
  <c r="O296" i="9"/>
  <c r="O292" i="9"/>
  <c r="H44" i="11"/>
  <c r="H56" i="11"/>
  <c r="H76" i="11"/>
  <c r="H88" i="11"/>
  <c r="H100" i="11"/>
  <c r="L140" i="6" s="1"/>
  <c r="O285" i="9"/>
  <c r="O281" i="9"/>
  <c r="O334" i="9"/>
  <c r="O330" i="9"/>
  <c r="O320" i="9"/>
  <c r="O316" i="9"/>
  <c r="O312" i="9"/>
  <c r="O388" i="9"/>
  <c r="O299" i="9"/>
  <c r="O295" i="9"/>
  <c r="O333" i="9"/>
  <c r="O329" i="9"/>
  <c r="O319" i="9"/>
  <c r="O315" i="9"/>
  <c r="O311" i="9"/>
  <c r="O326" i="9"/>
  <c r="O394" i="9"/>
  <c r="O387" i="9"/>
  <c r="H33" i="10"/>
  <c r="L129" i="6" s="1"/>
  <c r="H59" i="10"/>
  <c r="L131" i="6" s="1"/>
  <c r="G113" i="11"/>
  <c r="O30" i="9"/>
  <c r="O53" i="9"/>
  <c r="O89" i="9"/>
  <c r="O393" i="9"/>
  <c r="O392" i="9"/>
  <c r="G44" i="11"/>
  <c r="G56" i="11"/>
  <c r="G76" i="11"/>
  <c r="G88" i="11"/>
  <c r="G100" i="11"/>
  <c r="K140" i="6" s="1"/>
  <c r="O301" i="9"/>
  <c r="O17" i="9"/>
  <c r="O29" i="9"/>
  <c r="O52" i="9"/>
  <c r="O49" i="9"/>
  <c r="O88" i="9"/>
  <c r="O286" i="9"/>
  <c r="O282" i="9"/>
  <c r="O278" i="9"/>
  <c r="O297" i="9"/>
  <c r="O293" i="9"/>
  <c r="O335" i="9"/>
  <c r="O331" i="9"/>
  <c r="O327" i="9"/>
  <c r="O317" i="9"/>
  <c r="O313" i="9"/>
  <c r="O389" i="9"/>
  <c r="O298" i="9"/>
  <c r="O294" i="9"/>
  <c r="O31" i="9"/>
  <c r="O28" i="9"/>
  <c r="O50" i="9"/>
  <c r="O90" i="9"/>
  <c r="O87" i="9"/>
  <c r="O284" i="9"/>
  <c r="O280" i="9"/>
  <c r="O395" i="9"/>
  <c r="H11" i="11"/>
  <c r="L136" i="6" s="1"/>
  <c r="G11" i="11"/>
  <c r="K136" i="6" s="1"/>
  <c r="H21" i="10"/>
  <c r="L128" i="6" s="1"/>
  <c r="H47" i="10"/>
  <c r="L130" i="6" s="1"/>
  <c r="G33" i="10"/>
  <c r="K129" i="6" s="1"/>
  <c r="G21" i="10"/>
  <c r="K128" i="6" s="1"/>
  <c r="G47" i="10"/>
  <c r="K130" i="6" s="1"/>
  <c r="G59" i="10"/>
  <c r="K131" i="6" s="1"/>
  <c r="M22" i="9" l="1"/>
  <c r="G43" i="9"/>
  <c r="G54" i="9"/>
  <c r="L132" i="6"/>
  <c r="K132" i="6"/>
  <c r="H89" i="11"/>
  <c r="L139" i="6" s="1"/>
  <c r="G57" i="11"/>
  <c r="K138" i="6" s="1"/>
  <c r="H57" i="11"/>
  <c r="L138" i="6" s="1"/>
  <c r="G390" i="9"/>
  <c r="G397" i="9"/>
  <c r="G321" i="9"/>
  <c r="G336" i="9"/>
  <c r="G287" i="9"/>
  <c r="G89" i="11"/>
  <c r="K139" i="6" s="1"/>
  <c r="G92" i="9"/>
  <c r="G302" i="9"/>
  <c r="G22" i="9"/>
  <c r="M461" i="9"/>
  <c r="I461" i="9"/>
  <c r="J461" i="9" s="1"/>
  <c r="M460" i="9"/>
  <c r="I460" i="9"/>
  <c r="J460" i="9" s="1"/>
  <c r="M459" i="9"/>
  <c r="I459" i="9"/>
  <c r="J459" i="9" s="1"/>
  <c r="M458" i="9"/>
  <c r="I458" i="9"/>
  <c r="J458" i="9" s="1"/>
  <c r="M457" i="9"/>
  <c r="J457" i="9"/>
  <c r="M439" i="9"/>
  <c r="I439" i="9"/>
  <c r="J439" i="9" s="1"/>
  <c r="M438" i="9"/>
  <c r="I438" i="9"/>
  <c r="J438" i="9" s="1"/>
  <c r="M437" i="9"/>
  <c r="I437" i="9"/>
  <c r="J437" i="9" s="1"/>
  <c r="M436" i="9"/>
  <c r="I436" i="9"/>
  <c r="J436" i="9" s="1"/>
  <c r="M435" i="9"/>
  <c r="M428" i="9"/>
  <c r="I428" i="9"/>
  <c r="J428" i="9" s="1"/>
  <c r="M427" i="9"/>
  <c r="I427" i="9"/>
  <c r="J427" i="9" s="1"/>
  <c r="M426" i="9"/>
  <c r="I426" i="9"/>
  <c r="J426" i="9" s="1"/>
  <c r="M425" i="9"/>
  <c r="I425" i="9"/>
  <c r="J425" i="9" s="1"/>
  <c r="M424" i="9"/>
  <c r="J424" i="9"/>
  <c r="M417" i="9"/>
  <c r="I417" i="9"/>
  <c r="J417" i="9" s="1"/>
  <c r="M416" i="9"/>
  <c r="I416" i="9"/>
  <c r="J416" i="9" s="1"/>
  <c r="M415" i="9"/>
  <c r="I415" i="9"/>
  <c r="J415" i="9" s="1"/>
  <c r="M414" i="9"/>
  <c r="I414" i="9"/>
  <c r="J414" i="9" s="1"/>
  <c r="M413" i="9"/>
  <c r="J413" i="9"/>
  <c r="M406" i="9"/>
  <c r="I406" i="9"/>
  <c r="J406" i="9" s="1"/>
  <c r="M405" i="9"/>
  <c r="I405" i="9"/>
  <c r="J405" i="9" s="1"/>
  <c r="M404" i="9"/>
  <c r="I404" i="9"/>
  <c r="J404" i="9" s="1"/>
  <c r="M403" i="9"/>
  <c r="I403" i="9"/>
  <c r="J403" i="9" s="1"/>
  <c r="M402" i="9"/>
  <c r="J402" i="9"/>
  <c r="M376" i="9"/>
  <c r="I376" i="9"/>
  <c r="J376" i="9" s="1"/>
  <c r="M375" i="9"/>
  <c r="I375" i="9"/>
  <c r="J375" i="9" s="1"/>
  <c r="M374" i="9"/>
  <c r="I374" i="9"/>
  <c r="J374" i="9" s="1"/>
  <c r="M373" i="9"/>
  <c r="I373" i="9"/>
  <c r="J373" i="9" s="1"/>
  <c r="M372" i="9"/>
  <c r="I372" i="9"/>
  <c r="M365" i="9"/>
  <c r="I365" i="9"/>
  <c r="J365" i="9" s="1"/>
  <c r="M364" i="9"/>
  <c r="I364" i="9"/>
  <c r="J364" i="9" s="1"/>
  <c r="M363" i="9"/>
  <c r="I363" i="9"/>
  <c r="J363" i="9" s="1"/>
  <c r="M362" i="9"/>
  <c r="I362" i="9"/>
  <c r="J362" i="9" s="1"/>
  <c r="M361" i="9"/>
  <c r="M354" i="9"/>
  <c r="I354" i="9"/>
  <c r="J354" i="9" s="1"/>
  <c r="M353" i="9"/>
  <c r="I353" i="9"/>
  <c r="J353" i="9" s="1"/>
  <c r="M352" i="9"/>
  <c r="I352" i="9"/>
  <c r="J352" i="9" s="1"/>
  <c r="M351" i="9"/>
  <c r="I351" i="9"/>
  <c r="J351" i="9" s="1"/>
  <c r="M350" i="9"/>
  <c r="J350" i="9"/>
  <c r="M343" i="9"/>
  <c r="I343" i="9"/>
  <c r="J343" i="9" s="1"/>
  <c r="M342" i="9"/>
  <c r="J342" i="9"/>
  <c r="I326" i="9"/>
  <c r="J320" i="9"/>
  <c r="J319" i="9"/>
  <c r="J318" i="9"/>
  <c r="J317" i="9"/>
  <c r="J316" i="9"/>
  <c r="J315" i="9"/>
  <c r="J314" i="9"/>
  <c r="J313" i="9"/>
  <c r="J312" i="9"/>
  <c r="I292" i="9"/>
  <c r="J292" i="9" s="1"/>
  <c r="J286" i="9"/>
  <c r="J285" i="9"/>
  <c r="J284" i="9"/>
  <c r="J283" i="9"/>
  <c r="J282" i="9"/>
  <c r="J281" i="9"/>
  <c r="J280" i="9"/>
  <c r="J279" i="9"/>
  <c r="J278" i="9"/>
  <c r="M268" i="9"/>
  <c r="I268" i="9"/>
  <c r="J268" i="9" s="1"/>
  <c r="M267" i="9"/>
  <c r="I267" i="9"/>
  <c r="J267" i="9" s="1"/>
  <c r="M266" i="9"/>
  <c r="I266" i="9"/>
  <c r="J266" i="9" s="1"/>
  <c r="M265" i="9"/>
  <c r="J265" i="9"/>
  <c r="M264" i="9"/>
  <c r="I264" i="9"/>
  <c r="J264" i="9" s="1"/>
  <c r="M257" i="9"/>
  <c r="H257" i="9"/>
  <c r="I257" i="9" s="1"/>
  <c r="J257" i="9" s="1"/>
  <c r="M256" i="9"/>
  <c r="I256" i="9"/>
  <c r="J256" i="9" s="1"/>
  <c r="H256" i="9"/>
  <c r="M255" i="9"/>
  <c r="I255" i="9"/>
  <c r="J255" i="9" s="1"/>
  <c r="H255" i="9"/>
  <c r="M254" i="9"/>
  <c r="I254" i="9"/>
  <c r="J254" i="9" s="1"/>
  <c r="H254" i="9"/>
  <c r="M253" i="9"/>
  <c r="I253" i="9"/>
  <c r="J253" i="9" s="1"/>
  <c r="H253" i="9"/>
  <c r="M252" i="9"/>
  <c r="I252" i="9"/>
  <c r="J252" i="9" s="1"/>
  <c r="H252" i="9"/>
  <c r="M251" i="9"/>
  <c r="I251" i="9"/>
  <c r="J251" i="9" s="1"/>
  <c r="H251" i="9"/>
  <c r="M250" i="9"/>
  <c r="I250" i="9"/>
  <c r="J250" i="9" s="1"/>
  <c r="H250" i="9"/>
  <c r="M249" i="9"/>
  <c r="I249" i="9"/>
  <c r="J249" i="9" s="1"/>
  <c r="H249" i="9"/>
  <c r="M248" i="9"/>
  <c r="J248" i="9"/>
  <c r="H248" i="9"/>
  <c r="M240" i="9"/>
  <c r="I240" i="9"/>
  <c r="J240" i="9" s="1"/>
  <c r="M239" i="9"/>
  <c r="I239" i="9"/>
  <c r="J239" i="9" s="1"/>
  <c r="M238" i="9"/>
  <c r="I238" i="9"/>
  <c r="J238" i="9" s="1"/>
  <c r="M237" i="9"/>
  <c r="I237" i="9"/>
  <c r="J237" i="9" s="1"/>
  <c r="M236" i="9"/>
  <c r="M229" i="9"/>
  <c r="I229" i="9"/>
  <c r="J229" i="9" s="1"/>
  <c r="M228" i="9"/>
  <c r="I228" i="9"/>
  <c r="J228" i="9" s="1"/>
  <c r="M227" i="9"/>
  <c r="I227" i="9"/>
  <c r="J227" i="9" s="1"/>
  <c r="M226" i="9"/>
  <c r="I226" i="9"/>
  <c r="J226" i="9" s="1"/>
  <c r="M225" i="9"/>
  <c r="M218" i="9"/>
  <c r="I218" i="9"/>
  <c r="J218" i="9" s="1"/>
  <c r="M217" i="9"/>
  <c r="I217" i="9"/>
  <c r="J217" i="9" s="1"/>
  <c r="M216" i="9"/>
  <c r="I216" i="9"/>
  <c r="J216" i="9" s="1"/>
  <c r="M215" i="9"/>
  <c r="I215" i="9"/>
  <c r="J215" i="9" s="1"/>
  <c r="M214" i="9"/>
  <c r="M207" i="9"/>
  <c r="I207" i="9"/>
  <c r="J207" i="9" s="1"/>
  <c r="M206" i="9"/>
  <c r="I206" i="9"/>
  <c r="J206" i="9" s="1"/>
  <c r="M205" i="9"/>
  <c r="I205" i="9"/>
  <c r="J205" i="9" s="1"/>
  <c r="M204" i="9"/>
  <c r="I204" i="9"/>
  <c r="J204" i="9" s="1"/>
  <c r="M203" i="9"/>
  <c r="M196" i="9"/>
  <c r="H196" i="9"/>
  <c r="I196" i="9" s="1"/>
  <c r="J196" i="9" s="1"/>
  <c r="M195" i="9"/>
  <c r="H195" i="9"/>
  <c r="I195" i="9" s="1"/>
  <c r="J195" i="9" s="1"/>
  <c r="M194" i="9"/>
  <c r="H194" i="9"/>
  <c r="I194" i="9" s="1"/>
  <c r="J194" i="9" s="1"/>
  <c r="M193" i="9"/>
  <c r="H193" i="9"/>
  <c r="I193" i="9" s="1"/>
  <c r="J193" i="9" s="1"/>
  <c r="M192" i="9"/>
  <c r="H192" i="9"/>
  <c r="I192" i="9" s="1"/>
  <c r="J192" i="9" s="1"/>
  <c r="M191" i="9"/>
  <c r="H191" i="9"/>
  <c r="I191" i="9" s="1"/>
  <c r="J191" i="9" s="1"/>
  <c r="M190" i="9"/>
  <c r="H190" i="9"/>
  <c r="I190" i="9" s="1"/>
  <c r="J190" i="9" s="1"/>
  <c r="M189" i="9"/>
  <c r="H189" i="9"/>
  <c r="I189" i="9" s="1"/>
  <c r="J189" i="9" s="1"/>
  <c r="M188" i="9"/>
  <c r="H188" i="9"/>
  <c r="I188" i="9" s="1"/>
  <c r="J188" i="9" s="1"/>
  <c r="M187" i="9"/>
  <c r="H187" i="9"/>
  <c r="I187" i="9" s="1"/>
  <c r="M179" i="9"/>
  <c r="I179" i="9"/>
  <c r="J179" i="9" s="1"/>
  <c r="M178" i="9"/>
  <c r="I178" i="9"/>
  <c r="J178" i="9" s="1"/>
  <c r="M177" i="9"/>
  <c r="I177" i="9"/>
  <c r="J177" i="9" s="1"/>
  <c r="M176" i="9"/>
  <c r="I176" i="9"/>
  <c r="M175" i="9"/>
  <c r="M168" i="9"/>
  <c r="I168" i="9"/>
  <c r="J168" i="9" s="1"/>
  <c r="M167" i="9"/>
  <c r="I167" i="9"/>
  <c r="J167" i="9" s="1"/>
  <c r="M166" i="9"/>
  <c r="I166" i="9"/>
  <c r="J166" i="9" s="1"/>
  <c r="M165" i="9"/>
  <c r="I165" i="9"/>
  <c r="J165" i="9" s="1"/>
  <c r="M164" i="9"/>
  <c r="J164" i="9"/>
  <c r="M156" i="9"/>
  <c r="H156" i="9"/>
  <c r="I156" i="9" s="1"/>
  <c r="J156" i="9" s="1"/>
  <c r="M155" i="9"/>
  <c r="I155" i="9"/>
  <c r="J155" i="9" s="1"/>
  <c r="H155" i="9"/>
  <c r="M154" i="9"/>
  <c r="I154" i="9"/>
  <c r="J154" i="9" s="1"/>
  <c r="H154" i="9"/>
  <c r="M153" i="9"/>
  <c r="I153" i="9"/>
  <c r="J153" i="9" s="1"/>
  <c r="H153" i="9"/>
  <c r="M152" i="9"/>
  <c r="I152" i="9"/>
  <c r="J152" i="9" s="1"/>
  <c r="H152" i="9"/>
  <c r="M151" i="9"/>
  <c r="I151" i="9"/>
  <c r="J151" i="9" s="1"/>
  <c r="H151" i="9"/>
  <c r="M150" i="9"/>
  <c r="I150" i="9"/>
  <c r="J150" i="9" s="1"/>
  <c r="H150" i="9"/>
  <c r="M149" i="9"/>
  <c r="I149" i="9"/>
  <c r="J149" i="9" s="1"/>
  <c r="H149" i="9"/>
  <c r="M148" i="9"/>
  <c r="I148" i="9"/>
  <c r="J148" i="9" s="1"/>
  <c r="H148" i="9"/>
  <c r="M147" i="9"/>
  <c r="I147" i="9"/>
  <c r="J147" i="9" s="1"/>
  <c r="H147" i="9"/>
  <c r="M146" i="9"/>
  <c r="I146" i="9"/>
  <c r="J146" i="9" s="1"/>
  <c r="H146" i="9"/>
  <c r="M145" i="9"/>
  <c r="I145" i="9"/>
  <c r="J145" i="9" s="1"/>
  <c r="H145" i="9"/>
  <c r="M144" i="9"/>
  <c r="I144" i="9"/>
  <c r="J144" i="9" s="1"/>
  <c r="H144" i="9"/>
  <c r="M143" i="9"/>
  <c r="I143" i="9"/>
  <c r="J143" i="9" s="1"/>
  <c r="H143" i="9"/>
  <c r="M142" i="9"/>
  <c r="I142" i="9"/>
  <c r="J142" i="9" s="1"/>
  <c r="H142" i="9"/>
  <c r="M141" i="9"/>
  <c r="I141" i="9"/>
  <c r="J141" i="9" s="1"/>
  <c r="H141" i="9"/>
  <c r="M140" i="9"/>
  <c r="I140" i="9"/>
  <c r="J140" i="9" s="1"/>
  <c r="H140" i="9"/>
  <c r="M139" i="9"/>
  <c r="I139" i="9"/>
  <c r="J139" i="9" s="1"/>
  <c r="H139" i="9"/>
  <c r="M138" i="9"/>
  <c r="I138" i="9"/>
  <c r="J138" i="9" s="1"/>
  <c r="H138" i="9"/>
  <c r="M137" i="9"/>
  <c r="I137" i="9"/>
  <c r="J137" i="9" s="1"/>
  <c r="H137" i="9"/>
  <c r="M130" i="9"/>
  <c r="H130" i="9"/>
  <c r="I130" i="9" s="1"/>
  <c r="J130" i="9" s="1"/>
  <c r="M129" i="9"/>
  <c r="I129" i="9"/>
  <c r="J129" i="9" s="1"/>
  <c r="H129" i="9"/>
  <c r="M128" i="9"/>
  <c r="I128" i="9"/>
  <c r="J128" i="9" s="1"/>
  <c r="H128" i="9"/>
  <c r="M127" i="9"/>
  <c r="I127" i="9"/>
  <c r="J127" i="9" s="1"/>
  <c r="H127" i="9"/>
  <c r="M126" i="9"/>
  <c r="I126" i="9"/>
  <c r="J126" i="9" s="1"/>
  <c r="H126" i="9"/>
  <c r="M125" i="9"/>
  <c r="I125" i="9"/>
  <c r="J125" i="9" s="1"/>
  <c r="H125" i="9"/>
  <c r="M124" i="9"/>
  <c r="I124" i="9"/>
  <c r="J124" i="9" s="1"/>
  <c r="H124" i="9"/>
  <c r="M123" i="9"/>
  <c r="I123" i="9"/>
  <c r="J123" i="9" s="1"/>
  <c r="H123" i="9"/>
  <c r="M122" i="9"/>
  <c r="I122" i="9"/>
  <c r="J122" i="9" s="1"/>
  <c r="H122" i="9"/>
  <c r="M121" i="9"/>
  <c r="H121" i="9"/>
  <c r="M113" i="9"/>
  <c r="I113" i="9"/>
  <c r="J113" i="9" s="1"/>
  <c r="M112" i="9"/>
  <c r="I112" i="9"/>
  <c r="J112" i="9" s="1"/>
  <c r="M111" i="9"/>
  <c r="I111" i="9"/>
  <c r="J111" i="9" s="1"/>
  <c r="M110" i="9"/>
  <c r="I110" i="9"/>
  <c r="J110" i="9" s="1"/>
  <c r="M109" i="9"/>
  <c r="I109" i="9"/>
  <c r="M102" i="9"/>
  <c r="J102" i="9"/>
  <c r="M101" i="9"/>
  <c r="J101" i="9"/>
  <c r="M100" i="9"/>
  <c r="J100" i="9"/>
  <c r="M99" i="9"/>
  <c r="J99" i="9"/>
  <c r="M98" i="9"/>
  <c r="J98" i="9"/>
  <c r="J91" i="9"/>
  <c r="J90" i="9"/>
  <c r="J89" i="9"/>
  <c r="J88" i="9"/>
  <c r="M80" i="9"/>
  <c r="J80" i="9"/>
  <c r="M79" i="9"/>
  <c r="J79" i="9"/>
  <c r="M78" i="9"/>
  <c r="J78" i="9"/>
  <c r="M77" i="9"/>
  <c r="J77" i="9"/>
  <c r="M76" i="9"/>
  <c r="J76" i="9"/>
  <c r="M69" i="9"/>
  <c r="J69" i="9"/>
  <c r="M68" i="9"/>
  <c r="J68" i="9"/>
  <c r="M67" i="9"/>
  <c r="J67" i="9"/>
  <c r="M66" i="9"/>
  <c r="J66" i="9"/>
  <c r="M65" i="9"/>
  <c r="J65" i="9"/>
  <c r="M64" i="9"/>
  <c r="J64" i="9"/>
  <c r="M63" i="9"/>
  <c r="J63" i="9"/>
  <c r="M62" i="9"/>
  <c r="J62" i="9"/>
  <c r="M61" i="9"/>
  <c r="J61" i="9"/>
  <c r="M60" i="9"/>
  <c r="J53" i="9"/>
  <c r="J52" i="9"/>
  <c r="J51" i="9"/>
  <c r="J50" i="9"/>
  <c r="J32" i="9"/>
  <c r="J31" i="9"/>
  <c r="J30" i="9"/>
  <c r="J29" i="9"/>
  <c r="J21" i="9"/>
  <c r="J20" i="9"/>
  <c r="J19" i="9"/>
  <c r="J18" i="9"/>
  <c r="J17" i="9"/>
  <c r="J9" i="9"/>
  <c r="L121" i="6" s="1"/>
  <c r="K59" i="5" s="1"/>
  <c r="L141" i="6" l="1"/>
  <c r="K141" i="6"/>
  <c r="I293" i="9"/>
  <c r="J293" i="9" s="1"/>
  <c r="I297" i="9"/>
  <c r="J297" i="9" s="1"/>
  <c r="I301" i="9"/>
  <c r="J301" i="9" s="1"/>
  <c r="I330" i="9"/>
  <c r="J330" i="9" s="1"/>
  <c r="I334" i="9"/>
  <c r="J334" i="9" s="1"/>
  <c r="I294" i="9"/>
  <c r="J294" i="9" s="1"/>
  <c r="I298" i="9"/>
  <c r="J298" i="9" s="1"/>
  <c r="I327" i="9"/>
  <c r="J327" i="9" s="1"/>
  <c r="I331" i="9"/>
  <c r="J331" i="9" s="1"/>
  <c r="I335" i="9"/>
  <c r="J335" i="9" s="1"/>
  <c r="G230" i="9"/>
  <c r="I295" i="9"/>
  <c r="J295" i="9" s="1"/>
  <c r="I299" i="9"/>
  <c r="J299" i="9" s="1"/>
  <c r="I328" i="9"/>
  <c r="J328" i="9" s="1"/>
  <c r="I332" i="9"/>
  <c r="J332" i="9" s="1"/>
  <c r="J176" i="9"/>
  <c r="I180" i="9"/>
  <c r="K98" i="6" s="1"/>
  <c r="I296" i="9"/>
  <c r="J296" i="9" s="1"/>
  <c r="I300" i="9"/>
  <c r="J300" i="9" s="1"/>
  <c r="I329" i="9"/>
  <c r="J329" i="9" s="1"/>
  <c r="I333" i="9"/>
  <c r="J333" i="9" s="1"/>
  <c r="G344" i="9"/>
  <c r="I397" i="9"/>
  <c r="G197" i="9"/>
  <c r="I208" i="9"/>
  <c r="K100" i="6" s="1"/>
  <c r="I230" i="9"/>
  <c r="K102" i="6" s="1"/>
  <c r="J344" i="9"/>
  <c r="L108" i="6" s="1"/>
  <c r="I440" i="9"/>
  <c r="K115" i="6" s="1"/>
  <c r="G70" i="9"/>
  <c r="G81" i="9"/>
  <c r="I70" i="9"/>
  <c r="K91" i="6" s="1"/>
  <c r="J81" i="9"/>
  <c r="L92" i="6" s="1"/>
  <c r="G103" i="9"/>
  <c r="G440" i="9"/>
  <c r="K89" i="6"/>
  <c r="I377" i="9"/>
  <c r="K111" i="6" s="1"/>
  <c r="G208" i="9"/>
  <c r="G219" i="9"/>
  <c r="G114" i="9"/>
  <c r="G157" i="9"/>
  <c r="G429" i="9"/>
  <c r="I114" i="9"/>
  <c r="K95" i="6" s="1"/>
  <c r="G131" i="9"/>
  <c r="G180" i="9"/>
  <c r="I219" i="9"/>
  <c r="K101" i="6" s="1"/>
  <c r="I241" i="9"/>
  <c r="K103" i="6" s="1"/>
  <c r="I418" i="9"/>
  <c r="K113" i="6" s="1"/>
  <c r="G418" i="9"/>
  <c r="G462" i="9"/>
  <c r="I54" i="9"/>
  <c r="K90" i="6" s="1"/>
  <c r="I92" i="9"/>
  <c r="K93" i="6" s="1"/>
  <c r="G169" i="9"/>
  <c r="G241" i="9"/>
  <c r="G258" i="9"/>
  <c r="G269" i="9"/>
  <c r="I287" i="9"/>
  <c r="I355" i="9"/>
  <c r="K109" i="6" s="1"/>
  <c r="I366" i="9"/>
  <c r="K110" i="6" s="1"/>
  <c r="G366" i="9"/>
  <c r="J372" i="9"/>
  <c r="J377" i="9" s="1"/>
  <c r="L111" i="6" s="1"/>
  <c r="G407" i="9"/>
  <c r="J418" i="9"/>
  <c r="L113" i="6" s="1"/>
  <c r="I429" i="9"/>
  <c r="K114" i="6" s="1"/>
  <c r="G377" i="9"/>
  <c r="J429" i="9"/>
  <c r="L114" i="6" s="1"/>
  <c r="I131" i="9"/>
  <c r="I269" i="9"/>
  <c r="K105" i="6" s="1"/>
  <c r="I321" i="9"/>
  <c r="G355" i="9"/>
  <c r="I407" i="9"/>
  <c r="J435" i="9"/>
  <c r="J440" i="9" s="1"/>
  <c r="L115" i="6" s="1"/>
  <c r="I462" i="9"/>
  <c r="K117" i="6" s="1"/>
  <c r="I197" i="9"/>
  <c r="K99" i="6" s="1"/>
  <c r="J187" i="9"/>
  <c r="J197" i="9" s="1"/>
  <c r="L99" i="6" s="1"/>
  <c r="J103" i="9"/>
  <c r="L94" i="6" s="1"/>
  <c r="J22" i="9"/>
  <c r="L88" i="6" s="1"/>
  <c r="J326" i="9"/>
  <c r="J390" i="9"/>
  <c r="J355" i="9"/>
  <c r="L109" i="6" s="1"/>
  <c r="J157" i="9"/>
  <c r="J169" i="9"/>
  <c r="L97" i="6" s="1"/>
  <c r="J258" i="9"/>
  <c r="L104" i="6" s="1"/>
  <c r="J269" i="9"/>
  <c r="L105" i="6" s="1"/>
  <c r="J407" i="9"/>
  <c r="J462" i="9"/>
  <c r="L117" i="6" s="1"/>
  <c r="I22" i="9"/>
  <c r="K88" i="6" s="1"/>
  <c r="J28" i="9"/>
  <c r="J43" i="9" s="1"/>
  <c r="L89" i="6" s="1"/>
  <c r="J60" i="9"/>
  <c r="J70" i="9" s="1"/>
  <c r="L91" i="6" s="1"/>
  <c r="I81" i="9"/>
  <c r="K92" i="6" s="1"/>
  <c r="I103" i="9"/>
  <c r="K94" i="6" s="1"/>
  <c r="I157" i="9"/>
  <c r="I169" i="9"/>
  <c r="K97" i="6" s="1"/>
  <c r="J203" i="9"/>
  <c r="J208" i="9" s="1"/>
  <c r="L100" i="6" s="1"/>
  <c r="J225" i="9"/>
  <c r="J230" i="9" s="1"/>
  <c r="L102" i="6" s="1"/>
  <c r="I258" i="9"/>
  <c r="K104" i="6" s="1"/>
  <c r="J361" i="9"/>
  <c r="J366" i="9" s="1"/>
  <c r="L110" i="6" s="1"/>
  <c r="I390" i="9"/>
  <c r="J397" i="9"/>
  <c r="J87" i="9"/>
  <c r="J92" i="9" s="1"/>
  <c r="L93" i="6" s="1"/>
  <c r="J109" i="9"/>
  <c r="J114" i="9" s="1"/>
  <c r="L95" i="6" s="1"/>
  <c r="J175" i="9"/>
  <c r="J180" i="9" s="1"/>
  <c r="L98" i="6" s="1"/>
  <c r="I344" i="9"/>
  <c r="K108" i="6" s="1"/>
  <c r="J49" i="9"/>
  <c r="J54" i="9" s="1"/>
  <c r="L90" i="6" s="1"/>
  <c r="J121" i="9"/>
  <c r="J131" i="9" s="1"/>
  <c r="J214" i="9"/>
  <c r="J219" i="9" s="1"/>
  <c r="L101" i="6" s="1"/>
  <c r="J236" i="9"/>
  <c r="J241" i="9" s="1"/>
  <c r="L103" i="6" s="1"/>
  <c r="J277" i="9"/>
  <c r="J287" i="9" s="1"/>
  <c r="J311" i="9"/>
  <c r="J321" i="9" s="1"/>
  <c r="S88" i="8"/>
  <c r="S89" i="8"/>
  <c r="S90" i="8"/>
  <c r="S91" i="8"/>
  <c r="S87" i="8"/>
  <c r="T41" i="8"/>
  <c r="T42" i="8"/>
  <c r="T43" i="8"/>
  <c r="T44" i="8"/>
  <c r="T45" i="8"/>
  <c r="T46" i="8"/>
  <c r="T47" i="8"/>
  <c r="T48" i="8"/>
  <c r="T49" i="8"/>
  <c r="T50" i="8"/>
  <c r="T55" i="8"/>
  <c r="T56" i="8"/>
  <c r="T57" i="8"/>
  <c r="T58" i="8"/>
  <c r="T59" i="8"/>
  <c r="S41" i="8"/>
  <c r="S42" i="8"/>
  <c r="S43" i="8"/>
  <c r="S44" i="8"/>
  <c r="S45" i="8"/>
  <c r="S46" i="8"/>
  <c r="S47" i="8"/>
  <c r="S48" i="8"/>
  <c r="S49" i="8"/>
  <c r="S50" i="8"/>
  <c r="S55" i="8"/>
  <c r="S56" i="8"/>
  <c r="S57" i="8"/>
  <c r="S58" i="8"/>
  <c r="S59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U35" i="8" l="1"/>
  <c r="U31" i="8"/>
  <c r="U27" i="8"/>
  <c r="U23" i="8"/>
  <c r="U34" i="8"/>
  <c r="U26" i="8"/>
  <c r="U30" i="8"/>
  <c r="U33" i="8"/>
  <c r="U25" i="8"/>
  <c r="U29" i="8"/>
  <c r="U36" i="8"/>
  <c r="U32" i="8"/>
  <c r="U28" i="8"/>
  <c r="U24" i="8"/>
  <c r="I408" i="9"/>
  <c r="K112" i="6" s="1"/>
  <c r="I336" i="9"/>
  <c r="I302" i="9"/>
  <c r="I303" i="9" s="1"/>
  <c r="K106" i="6" s="1"/>
  <c r="M14" i="9"/>
  <c r="I8" i="9" s="1"/>
  <c r="J302" i="9"/>
  <c r="J303" i="9" s="1"/>
  <c r="L106" i="6" s="1"/>
  <c r="I337" i="9"/>
  <c r="K107" i="6" s="1"/>
  <c r="J336" i="9"/>
  <c r="J337" i="9" s="1"/>
  <c r="L107" i="6" s="1"/>
  <c r="I158" i="9"/>
  <c r="K96" i="6" s="1"/>
  <c r="U58" i="8"/>
  <c r="U50" i="8"/>
  <c r="U42" i="8"/>
  <c r="U57" i="8"/>
  <c r="U49" i="8"/>
  <c r="U45" i="8"/>
  <c r="U41" i="8"/>
  <c r="J408" i="9"/>
  <c r="L112" i="6" s="1"/>
  <c r="J158" i="9"/>
  <c r="L96" i="6" s="1"/>
  <c r="U59" i="8"/>
  <c r="U55" i="8"/>
  <c r="U47" i="8"/>
  <c r="U43" i="8"/>
  <c r="U46" i="8"/>
  <c r="U56" i="8"/>
  <c r="U48" i="8"/>
  <c r="U44" i="8"/>
  <c r="M37" i="8" l="1"/>
  <c r="L118" i="6"/>
  <c r="K118" i="6"/>
  <c r="J8" i="9"/>
  <c r="K120" i="6"/>
  <c r="E58" i="5" s="1"/>
  <c r="F266" i="8"/>
  <c r="G266" i="8" s="1"/>
  <c r="F265" i="8"/>
  <c r="G265" i="8" s="1"/>
  <c r="F264" i="8"/>
  <c r="G264" i="8" s="1"/>
  <c r="F263" i="8"/>
  <c r="G263" i="8" s="1"/>
  <c r="F262" i="8"/>
  <c r="G262" i="8" s="1"/>
  <c r="F261" i="8"/>
  <c r="V255" i="8"/>
  <c r="S255" i="8"/>
  <c r="U255" i="8" s="1"/>
  <c r="J255" i="8"/>
  <c r="T255" i="8" s="1"/>
  <c r="H255" i="8"/>
  <c r="I255" i="8" s="1"/>
  <c r="V254" i="8"/>
  <c r="S254" i="8"/>
  <c r="U254" i="8" s="1"/>
  <c r="J254" i="8"/>
  <c r="T254" i="8" s="1"/>
  <c r="H254" i="8"/>
  <c r="I254" i="8" s="1"/>
  <c r="V253" i="8"/>
  <c r="S253" i="8"/>
  <c r="U253" i="8" s="1"/>
  <c r="J253" i="8"/>
  <c r="T253" i="8" s="1"/>
  <c r="H253" i="8"/>
  <c r="I253" i="8" s="1"/>
  <c r="V252" i="8"/>
  <c r="S252" i="8"/>
  <c r="U252" i="8" s="1"/>
  <c r="J252" i="8"/>
  <c r="T252" i="8" s="1"/>
  <c r="H252" i="8"/>
  <c r="I252" i="8" s="1"/>
  <c r="V251" i="8"/>
  <c r="S251" i="8"/>
  <c r="U251" i="8" s="1"/>
  <c r="J251" i="8"/>
  <c r="T251" i="8" s="1"/>
  <c r="H251" i="8"/>
  <c r="I251" i="8" s="1"/>
  <c r="V250" i="8"/>
  <c r="S250" i="8"/>
  <c r="U250" i="8" s="1"/>
  <c r="J250" i="8"/>
  <c r="T250" i="8" s="1"/>
  <c r="H250" i="8"/>
  <c r="I250" i="8" s="1"/>
  <c r="V249" i="8"/>
  <c r="S249" i="8"/>
  <c r="U249" i="8" s="1"/>
  <c r="J249" i="8"/>
  <c r="T249" i="8" s="1"/>
  <c r="H249" i="8"/>
  <c r="I249" i="8" s="1"/>
  <c r="V248" i="8"/>
  <c r="S248" i="8"/>
  <c r="U248" i="8" s="1"/>
  <c r="J248" i="8"/>
  <c r="T248" i="8" s="1"/>
  <c r="H248" i="8"/>
  <c r="I248" i="8" s="1"/>
  <c r="V247" i="8"/>
  <c r="S247" i="8"/>
  <c r="U247" i="8" s="1"/>
  <c r="J247" i="8"/>
  <c r="T247" i="8" s="1"/>
  <c r="H247" i="8"/>
  <c r="I247" i="8" s="1"/>
  <c r="V246" i="8"/>
  <c r="S246" i="8"/>
  <c r="U246" i="8" s="1"/>
  <c r="J246" i="8"/>
  <c r="T246" i="8" s="1"/>
  <c r="H246" i="8"/>
  <c r="I246" i="8" s="1"/>
  <c r="V245" i="8"/>
  <c r="S245" i="8"/>
  <c r="U245" i="8" s="1"/>
  <c r="J245" i="8"/>
  <c r="T245" i="8" s="1"/>
  <c r="H245" i="8"/>
  <c r="I245" i="8" s="1"/>
  <c r="V244" i="8"/>
  <c r="S244" i="8"/>
  <c r="U244" i="8" s="1"/>
  <c r="J244" i="8"/>
  <c r="T244" i="8" s="1"/>
  <c r="H244" i="8"/>
  <c r="I244" i="8" s="1"/>
  <c r="V243" i="8"/>
  <c r="S243" i="8"/>
  <c r="U243" i="8" s="1"/>
  <c r="J243" i="8"/>
  <c r="T243" i="8" s="1"/>
  <c r="H243" i="8"/>
  <c r="I243" i="8" s="1"/>
  <c r="V242" i="8"/>
  <c r="S242" i="8"/>
  <c r="U242" i="8" s="1"/>
  <c r="J242" i="8"/>
  <c r="T242" i="8" s="1"/>
  <c r="H242" i="8"/>
  <c r="I242" i="8" s="1"/>
  <c r="V241" i="8"/>
  <c r="S241" i="8"/>
  <c r="U241" i="8" s="1"/>
  <c r="J241" i="8"/>
  <c r="T241" i="8" s="1"/>
  <c r="H241" i="8"/>
  <c r="I241" i="8" s="1"/>
  <c r="V240" i="8"/>
  <c r="S240" i="8"/>
  <c r="U240" i="8" s="1"/>
  <c r="J240" i="8"/>
  <c r="T240" i="8" s="1"/>
  <c r="H240" i="8"/>
  <c r="I240" i="8" s="1"/>
  <c r="V239" i="8"/>
  <c r="S239" i="8"/>
  <c r="U239" i="8" s="1"/>
  <c r="J239" i="8"/>
  <c r="T239" i="8" s="1"/>
  <c r="H239" i="8"/>
  <c r="I239" i="8" s="1"/>
  <c r="V238" i="8"/>
  <c r="S238" i="8"/>
  <c r="U238" i="8" s="1"/>
  <c r="J238" i="8"/>
  <c r="T238" i="8" s="1"/>
  <c r="H238" i="8"/>
  <c r="I238" i="8" s="1"/>
  <c r="V237" i="8"/>
  <c r="S237" i="8"/>
  <c r="U237" i="8" s="1"/>
  <c r="J237" i="8"/>
  <c r="T237" i="8" s="1"/>
  <c r="H237" i="8"/>
  <c r="I237" i="8" s="1"/>
  <c r="V236" i="8"/>
  <c r="S236" i="8"/>
  <c r="J236" i="8"/>
  <c r="T236" i="8" s="1"/>
  <c r="H236" i="8"/>
  <c r="J235" i="8"/>
  <c r="H235" i="8"/>
  <c r="I235" i="8" s="1"/>
  <c r="H219" i="8"/>
  <c r="I219" i="8" s="1"/>
  <c r="G219" i="8"/>
  <c r="H218" i="8"/>
  <c r="I218" i="8" s="1"/>
  <c r="G218" i="8"/>
  <c r="H217" i="8"/>
  <c r="I217" i="8" s="1"/>
  <c r="G217" i="8"/>
  <c r="H216" i="8"/>
  <c r="I216" i="8" s="1"/>
  <c r="G216" i="8"/>
  <c r="H215" i="8"/>
  <c r="I215" i="8" s="1"/>
  <c r="G215" i="8"/>
  <c r="H214" i="8"/>
  <c r="I214" i="8" s="1"/>
  <c r="G214" i="8"/>
  <c r="H213" i="8"/>
  <c r="I213" i="8" s="1"/>
  <c r="G213" i="8"/>
  <c r="H212" i="8"/>
  <c r="I212" i="8" s="1"/>
  <c r="G212" i="8"/>
  <c r="H211" i="8"/>
  <c r="I211" i="8" s="1"/>
  <c r="G211" i="8"/>
  <c r="H210" i="8"/>
  <c r="G210" i="8"/>
  <c r="H209" i="8"/>
  <c r="G209" i="8"/>
  <c r="H208" i="8"/>
  <c r="I208" i="8" s="1"/>
  <c r="G201" i="8"/>
  <c r="H201" i="8" s="1"/>
  <c r="I201" i="8" s="1"/>
  <c r="H200" i="8"/>
  <c r="I200" i="8" s="1"/>
  <c r="G200" i="8"/>
  <c r="H199" i="8"/>
  <c r="I199" i="8" s="1"/>
  <c r="G199" i="8"/>
  <c r="H198" i="8"/>
  <c r="I198" i="8" s="1"/>
  <c r="G198" i="8"/>
  <c r="H197" i="8"/>
  <c r="I197" i="8" s="1"/>
  <c r="G197" i="8"/>
  <c r="H196" i="8"/>
  <c r="I196" i="8" s="1"/>
  <c r="G196" i="8"/>
  <c r="H195" i="8"/>
  <c r="I195" i="8" s="1"/>
  <c r="G195" i="8"/>
  <c r="H194" i="8"/>
  <c r="I194" i="8" s="1"/>
  <c r="G194" i="8"/>
  <c r="H193" i="8"/>
  <c r="I193" i="8" s="1"/>
  <c r="G193" i="8"/>
  <c r="H192" i="8"/>
  <c r="I192" i="8" s="1"/>
  <c r="G192" i="8"/>
  <c r="H191" i="8"/>
  <c r="I191" i="8" s="1"/>
  <c r="G191" i="8"/>
  <c r="H190" i="8"/>
  <c r="I190" i="8" s="1"/>
  <c r="G190" i="8"/>
  <c r="H189" i="8"/>
  <c r="I189" i="8" s="1"/>
  <c r="G189" i="8"/>
  <c r="H188" i="8"/>
  <c r="I188" i="8" s="1"/>
  <c r="G188" i="8"/>
  <c r="H187" i="8"/>
  <c r="I187" i="8" s="1"/>
  <c r="G187" i="8"/>
  <c r="H186" i="8"/>
  <c r="I186" i="8" s="1"/>
  <c r="G186" i="8"/>
  <c r="H185" i="8"/>
  <c r="I185" i="8" s="1"/>
  <c r="G185" i="8"/>
  <c r="H184" i="8"/>
  <c r="I184" i="8" s="1"/>
  <c r="G184" i="8"/>
  <c r="H183" i="8"/>
  <c r="I183" i="8" s="1"/>
  <c r="G183" i="8"/>
  <c r="H182" i="8"/>
  <c r="G182" i="8"/>
  <c r="G181" i="8"/>
  <c r="H181" i="8" s="1"/>
  <c r="I181" i="8" s="1"/>
  <c r="G174" i="8"/>
  <c r="H174" i="8" s="1"/>
  <c r="I174" i="8" s="1"/>
  <c r="H173" i="8"/>
  <c r="I173" i="8" s="1"/>
  <c r="G173" i="8"/>
  <c r="H172" i="8"/>
  <c r="I172" i="8" s="1"/>
  <c r="G172" i="8"/>
  <c r="H171" i="8"/>
  <c r="I171" i="8" s="1"/>
  <c r="G171" i="8"/>
  <c r="H170" i="8"/>
  <c r="I170" i="8" s="1"/>
  <c r="G170" i="8"/>
  <c r="H169" i="8"/>
  <c r="I169" i="8" s="1"/>
  <c r="G169" i="8"/>
  <c r="H168" i="8"/>
  <c r="I168" i="8" s="1"/>
  <c r="G168" i="8"/>
  <c r="H167" i="8"/>
  <c r="I167" i="8" s="1"/>
  <c r="G167" i="8"/>
  <c r="H166" i="8"/>
  <c r="I166" i="8" s="1"/>
  <c r="G166" i="8"/>
  <c r="H165" i="8"/>
  <c r="I165" i="8" s="1"/>
  <c r="G165" i="8"/>
  <c r="H164" i="8"/>
  <c r="I164" i="8" s="1"/>
  <c r="G164" i="8"/>
  <c r="H163" i="8"/>
  <c r="I163" i="8" s="1"/>
  <c r="G163" i="8"/>
  <c r="H162" i="8"/>
  <c r="I162" i="8" s="1"/>
  <c r="G162" i="8"/>
  <c r="H161" i="8"/>
  <c r="I161" i="8" s="1"/>
  <c r="G161" i="8"/>
  <c r="H160" i="8"/>
  <c r="I160" i="8" s="1"/>
  <c r="G160" i="8"/>
  <c r="H159" i="8"/>
  <c r="I159" i="8" s="1"/>
  <c r="G159" i="8"/>
  <c r="H158" i="8"/>
  <c r="I158" i="8" s="1"/>
  <c r="G158" i="8"/>
  <c r="H157" i="8"/>
  <c r="I157" i="8" s="1"/>
  <c r="G157" i="8"/>
  <c r="H156" i="8"/>
  <c r="I156" i="8" s="1"/>
  <c r="G156" i="8"/>
  <c r="H155" i="8"/>
  <c r="G155" i="8"/>
  <c r="G154" i="8"/>
  <c r="H154" i="8" s="1"/>
  <c r="I154" i="8" s="1"/>
  <c r="J147" i="8"/>
  <c r="T147" i="8" s="1"/>
  <c r="H147" i="8"/>
  <c r="I147" i="8" s="1"/>
  <c r="J146" i="8"/>
  <c r="T146" i="8" s="1"/>
  <c r="H146" i="8"/>
  <c r="I146" i="8" s="1"/>
  <c r="J145" i="8"/>
  <c r="T145" i="8" s="1"/>
  <c r="H145" i="8"/>
  <c r="I145" i="8" s="1"/>
  <c r="J144" i="8"/>
  <c r="T144" i="8" s="1"/>
  <c r="H144" i="8"/>
  <c r="I144" i="8" s="1"/>
  <c r="J143" i="8"/>
  <c r="T143" i="8" s="1"/>
  <c r="H143" i="8"/>
  <c r="I143" i="8" s="1"/>
  <c r="J142" i="8"/>
  <c r="T142" i="8" s="1"/>
  <c r="H142" i="8"/>
  <c r="I142" i="8" s="1"/>
  <c r="J141" i="8"/>
  <c r="T141" i="8" s="1"/>
  <c r="H141" i="8"/>
  <c r="I141" i="8" s="1"/>
  <c r="J140" i="8"/>
  <c r="T140" i="8" s="1"/>
  <c r="H140" i="8"/>
  <c r="I140" i="8" s="1"/>
  <c r="J139" i="8"/>
  <c r="T139" i="8" s="1"/>
  <c r="H139" i="8"/>
  <c r="I139" i="8" s="1"/>
  <c r="J138" i="8"/>
  <c r="T138" i="8" s="1"/>
  <c r="H138" i="8"/>
  <c r="I138" i="8" s="1"/>
  <c r="J137" i="8"/>
  <c r="T137" i="8" s="1"/>
  <c r="H137" i="8"/>
  <c r="I137" i="8" s="1"/>
  <c r="J136" i="8"/>
  <c r="T136" i="8" s="1"/>
  <c r="H136" i="8"/>
  <c r="I136" i="8" s="1"/>
  <c r="J135" i="8"/>
  <c r="T135" i="8" s="1"/>
  <c r="H135" i="8"/>
  <c r="I135" i="8" s="1"/>
  <c r="J134" i="8"/>
  <c r="T134" i="8" s="1"/>
  <c r="H134" i="8"/>
  <c r="I134" i="8" s="1"/>
  <c r="J133" i="8"/>
  <c r="T133" i="8" s="1"/>
  <c r="H133" i="8"/>
  <c r="I133" i="8" s="1"/>
  <c r="J132" i="8"/>
  <c r="T132" i="8" s="1"/>
  <c r="H132" i="8"/>
  <c r="I132" i="8" s="1"/>
  <c r="J131" i="8"/>
  <c r="T131" i="8" s="1"/>
  <c r="H131" i="8"/>
  <c r="I131" i="8" s="1"/>
  <c r="J130" i="8"/>
  <c r="T130" i="8" s="1"/>
  <c r="H130" i="8"/>
  <c r="I130" i="8" s="1"/>
  <c r="J129" i="8"/>
  <c r="T129" i="8" s="1"/>
  <c r="H129" i="8"/>
  <c r="I129" i="8" s="1"/>
  <c r="J128" i="8"/>
  <c r="T128" i="8" s="1"/>
  <c r="H128" i="8"/>
  <c r="J127" i="8"/>
  <c r="H127" i="8"/>
  <c r="I127" i="8" s="1"/>
  <c r="T120" i="8"/>
  <c r="S120" i="8"/>
  <c r="G120" i="8"/>
  <c r="H120" i="8" s="1"/>
  <c r="I120" i="8" s="1"/>
  <c r="V119" i="8"/>
  <c r="T119" i="8"/>
  <c r="S119" i="8"/>
  <c r="U119" i="8" s="1"/>
  <c r="H119" i="8"/>
  <c r="I119" i="8" s="1"/>
  <c r="G119" i="8"/>
  <c r="V118" i="8"/>
  <c r="T118" i="8"/>
  <c r="S118" i="8"/>
  <c r="U118" i="8" s="1"/>
  <c r="H118" i="8"/>
  <c r="I118" i="8" s="1"/>
  <c r="G118" i="8"/>
  <c r="V117" i="8"/>
  <c r="T117" i="8"/>
  <c r="S117" i="8"/>
  <c r="U117" i="8" s="1"/>
  <c r="H117" i="8"/>
  <c r="I117" i="8" s="1"/>
  <c r="G117" i="8"/>
  <c r="V116" i="8"/>
  <c r="T116" i="8"/>
  <c r="S116" i="8"/>
  <c r="U116" i="8" s="1"/>
  <c r="H116" i="8"/>
  <c r="I116" i="8" s="1"/>
  <c r="G116" i="8"/>
  <c r="V115" i="8"/>
  <c r="T115" i="8"/>
  <c r="S115" i="8"/>
  <c r="U115" i="8" s="1"/>
  <c r="H115" i="8"/>
  <c r="I115" i="8" s="1"/>
  <c r="G115" i="8"/>
  <c r="V114" i="8"/>
  <c r="T114" i="8"/>
  <c r="S114" i="8"/>
  <c r="U114" i="8" s="1"/>
  <c r="H114" i="8"/>
  <c r="I114" i="8" s="1"/>
  <c r="G114" i="8"/>
  <c r="V113" i="8"/>
  <c r="T113" i="8"/>
  <c r="S113" i="8"/>
  <c r="U113" i="8" s="1"/>
  <c r="H113" i="8"/>
  <c r="I113" i="8" s="1"/>
  <c r="G113" i="8"/>
  <c r="V112" i="8"/>
  <c r="T112" i="8"/>
  <c r="S112" i="8"/>
  <c r="U112" i="8" s="1"/>
  <c r="H112" i="8"/>
  <c r="I112" i="8" s="1"/>
  <c r="G112" i="8"/>
  <c r="V111" i="8"/>
  <c r="T111" i="8"/>
  <c r="S111" i="8"/>
  <c r="U111" i="8" s="1"/>
  <c r="H111" i="8"/>
  <c r="I111" i="8" s="1"/>
  <c r="G111" i="8"/>
  <c r="V110" i="8"/>
  <c r="T110" i="8"/>
  <c r="S110" i="8"/>
  <c r="U110" i="8" s="1"/>
  <c r="H110" i="8"/>
  <c r="I110" i="8" s="1"/>
  <c r="G110" i="8"/>
  <c r="V109" i="8"/>
  <c r="T109" i="8"/>
  <c r="S109" i="8"/>
  <c r="U109" i="8" s="1"/>
  <c r="H109" i="8"/>
  <c r="I109" i="8" s="1"/>
  <c r="G109" i="8"/>
  <c r="V108" i="8"/>
  <c r="T108" i="8"/>
  <c r="S108" i="8"/>
  <c r="U108" i="8" s="1"/>
  <c r="H108" i="8"/>
  <c r="I108" i="8" s="1"/>
  <c r="G108" i="8"/>
  <c r="V107" i="8"/>
  <c r="T107" i="8"/>
  <c r="S107" i="8"/>
  <c r="U107" i="8" s="1"/>
  <c r="H107" i="8"/>
  <c r="I107" i="8" s="1"/>
  <c r="G107" i="8"/>
  <c r="V106" i="8"/>
  <c r="T106" i="8"/>
  <c r="S106" i="8"/>
  <c r="U106" i="8" s="1"/>
  <c r="H106" i="8"/>
  <c r="I106" i="8" s="1"/>
  <c r="G106" i="8"/>
  <c r="V105" i="8"/>
  <c r="T105" i="8"/>
  <c r="S105" i="8"/>
  <c r="U105" i="8" s="1"/>
  <c r="H105" i="8"/>
  <c r="I105" i="8" s="1"/>
  <c r="G105" i="8"/>
  <c r="V104" i="8"/>
  <c r="T104" i="8"/>
  <c r="S104" i="8"/>
  <c r="U104" i="8" s="1"/>
  <c r="H104" i="8"/>
  <c r="I104" i="8" s="1"/>
  <c r="G104" i="8"/>
  <c r="V103" i="8"/>
  <c r="T103" i="8"/>
  <c r="S103" i="8"/>
  <c r="U103" i="8" s="1"/>
  <c r="H103" i="8"/>
  <c r="I103" i="8" s="1"/>
  <c r="G103" i="8"/>
  <c r="V102" i="8"/>
  <c r="T102" i="8"/>
  <c r="S102" i="8"/>
  <c r="U102" i="8" s="1"/>
  <c r="H102" i="8"/>
  <c r="I102" i="8" s="1"/>
  <c r="G102" i="8"/>
  <c r="T101" i="8"/>
  <c r="S101" i="8"/>
  <c r="G101" i="8"/>
  <c r="H101" i="8" s="1"/>
  <c r="I101" i="8" s="1"/>
  <c r="G100" i="8"/>
  <c r="H100" i="8" s="1"/>
  <c r="I100" i="8" s="1"/>
  <c r="H91" i="8"/>
  <c r="I91" i="8" s="1"/>
  <c r="G91" i="8"/>
  <c r="H90" i="8"/>
  <c r="I90" i="8" s="1"/>
  <c r="G90" i="8"/>
  <c r="H89" i="8"/>
  <c r="I89" i="8" s="1"/>
  <c r="G89" i="8"/>
  <c r="H88" i="8"/>
  <c r="I88" i="8" s="1"/>
  <c r="G88" i="8"/>
  <c r="H87" i="8"/>
  <c r="I87" i="8" s="1"/>
  <c r="G87" i="8"/>
  <c r="H59" i="8"/>
  <c r="I59" i="8" s="1"/>
  <c r="H58" i="8"/>
  <c r="I58" i="8" s="1"/>
  <c r="H57" i="8"/>
  <c r="I57" i="8" s="1"/>
  <c r="H56" i="8"/>
  <c r="I56" i="8" s="1"/>
  <c r="H55" i="8"/>
  <c r="H339" i="7"/>
  <c r="J339" i="7" s="1"/>
  <c r="H340" i="7"/>
  <c r="J340" i="7" s="1"/>
  <c r="H341" i="7"/>
  <c r="J341" i="7" s="1"/>
  <c r="I339" i="7"/>
  <c r="I340" i="7"/>
  <c r="I341" i="7"/>
  <c r="O339" i="7"/>
  <c r="P339" i="7" s="1"/>
  <c r="O340" i="7"/>
  <c r="P340" i="7" s="1"/>
  <c r="O341" i="7"/>
  <c r="P341" i="7" s="1"/>
  <c r="N337" i="7"/>
  <c r="O337" i="7" s="1"/>
  <c r="P337" i="7" s="1"/>
  <c r="N338" i="7"/>
  <c r="O338" i="7" s="1"/>
  <c r="N339" i="7"/>
  <c r="N340" i="7"/>
  <c r="N341" i="7"/>
  <c r="N336" i="7"/>
  <c r="W102" i="8" l="1"/>
  <c r="X102" i="8"/>
  <c r="W106" i="8"/>
  <c r="X106" i="8"/>
  <c r="W110" i="8"/>
  <c r="X110" i="8"/>
  <c r="W114" i="8"/>
  <c r="X114" i="8"/>
  <c r="W118" i="8"/>
  <c r="X118" i="8"/>
  <c r="W103" i="8"/>
  <c r="X103" i="8"/>
  <c r="W107" i="8"/>
  <c r="X107" i="8"/>
  <c r="W111" i="8"/>
  <c r="X111" i="8"/>
  <c r="W115" i="8"/>
  <c r="X115" i="8"/>
  <c r="X119" i="8"/>
  <c r="W119" i="8"/>
  <c r="X108" i="8"/>
  <c r="W108" i="8"/>
  <c r="W116" i="8"/>
  <c r="X116" i="8"/>
  <c r="W104" i="8"/>
  <c r="X104" i="8"/>
  <c r="W112" i="8"/>
  <c r="X112" i="8"/>
  <c r="X105" i="8"/>
  <c r="W105" i="8"/>
  <c r="W109" i="8"/>
  <c r="X109" i="8"/>
  <c r="X113" i="8"/>
  <c r="W113" i="8"/>
  <c r="W117" i="8"/>
  <c r="X117" i="8"/>
  <c r="I92" i="8"/>
  <c r="I209" i="8"/>
  <c r="H229" i="8"/>
  <c r="H37" i="8"/>
  <c r="I37" i="8"/>
  <c r="I51" i="8"/>
  <c r="U120" i="8"/>
  <c r="U101" i="8"/>
  <c r="O148" i="8"/>
  <c r="N148" i="8"/>
  <c r="J11" i="9"/>
  <c r="L120" i="6"/>
  <c r="L123" i="6" s="1"/>
  <c r="K29" i="6" s="1"/>
  <c r="M148" i="8"/>
  <c r="U236" i="8"/>
  <c r="F267" i="8"/>
  <c r="O175" i="8"/>
  <c r="H202" i="8"/>
  <c r="H60" i="8"/>
  <c r="M202" i="8"/>
  <c r="P338" i="7"/>
  <c r="H338" i="7" s="1"/>
  <c r="I55" i="8"/>
  <c r="I60" i="8" s="1"/>
  <c r="H175" i="8"/>
  <c r="H256" i="8"/>
  <c r="H148" i="8"/>
  <c r="I182" i="8"/>
  <c r="I202" i="8" s="1"/>
  <c r="H92" i="8"/>
  <c r="O202" i="8"/>
  <c r="H337" i="7"/>
  <c r="M256" i="8"/>
  <c r="M175" i="8"/>
  <c r="M92" i="8"/>
  <c r="H12" i="8"/>
  <c r="H11" i="8"/>
  <c r="H13" i="8"/>
  <c r="H9" i="8"/>
  <c r="H10" i="8"/>
  <c r="I121" i="8"/>
  <c r="H51" i="8"/>
  <c r="H121" i="8"/>
  <c r="I155" i="8"/>
  <c r="I175" i="8" s="1"/>
  <c r="O256" i="8"/>
  <c r="G261" i="8"/>
  <c r="G267" i="8" s="1"/>
  <c r="I128" i="8"/>
  <c r="I148" i="8" s="1"/>
  <c r="W202" i="8"/>
  <c r="I236" i="8"/>
  <c r="I256" i="8" s="1"/>
  <c r="I210" i="8"/>
  <c r="O336" i="7"/>
  <c r="P336" i="7" s="1"/>
  <c r="V101" i="8" l="1"/>
  <c r="X101" i="8" s="1"/>
  <c r="W175" i="8"/>
  <c r="I229" i="8"/>
  <c r="I338" i="7"/>
  <c r="J338" i="7"/>
  <c r="I337" i="7"/>
  <c r="J337" i="7" s="1"/>
  <c r="V120" i="8"/>
  <c r="X120" i="8" s="1"/>
  <c r="X256" i="8"/>
  <c r="I13" i="8"/>
  <c r="K56" i="5" s="1"/>
  <c r="E56" i="5"/>
  <c r="I11" i="8"/>
  <c r="K54" i="5" s="1"/>
  <c r="E54" i="5"/>
  <c r="I10" i="8"/>
  <c r="K53" i="5" s="1"/>
  <c r="E53" i="5"/>
  <c r="I12" i="8"/>
  <c r="K55" i="5" s="1"/>
  <c r="E55" i="5"/>
  <c r="I9" i="8"/>
  <c r="K52" i="5" s="1"/>
  <c r="E52" i="5"/>
  <c r="K58" i="5"/>
  <c r="X148" i="8"/>
  <c r="W148" i="8"/>
  <c r="O230" i="8"/>
  <c r="P342" i="7"/>
  <c r="M51" i="8"/>
  <c r="M60" i="8"/>
  <c r="W256" i="8"/>
  <c r="H336" i="7"/>
  <c r="W120" i="8" l="1"/>
  <c r="X121" i="8"/>
  <c r="M121" i="8"/>
  <c r="M95" i="8" s="1"/>
  <c r="W101" i="8"/>
  <c r="W121" i="8" s="1"/>
  <c r="M17" i="8"/>
  <c r="H7" i="8" s="1"/>
  <c r="I8" i="8"/>
  <c r="H8" i="8" s="1"/>
  <c r="K82" i="6" s="1"/>
  <c r="E51" i="5" s="1"/>
  <c r="K57" i="5"/>
  <c r="I336" i="7"/>
  <c r="J336" i="7" s="1"/>
  <c r="I7" i="8" l="1"/>
  <c r="K81" i="6"/>
  <c r="E50" i="5" s="1"/>
  <c r="K51" i="5"/>
  <c r="L82" i="6"/>
  <c r="K341" i="7"/>
  <c r="K340" i="7"/>
  <c r="K339" i="7"/>
  <c r="J109" i="7"/>
  <c r="K109" i="7" s="1"/>
  <c r="J110" i="7"/>
  <c r="J111" i="7"/>
  <c r="J112" i="7"/>
  <c r="K112" i="7" s="1"/>
  <c r="J113" i="7"/>
  <c r="J114" i="7"/>
  <c r="J115" i="7"/>
  <c r="J116" i="7"/>
  <c r="K116" i="7" s="1"/>
  <c r="J117" i="7"/>
  <c r="K117" i="7" s="1"/>
  <c r="J118" i="7"/>
  <c r="J119" i="7"/>
  <c r="J120" i="7"/>
  <c r="K120" i="7" s="1"/>
  <c r="J121" i="7"/>
  <c r="K121" i="7" s="1"/>
  <c r="J122" i="7"/>
  <c r="J123" i="7"/>
  <c r="J124" i="7"/>
  <c r="K124" i="7" s="1"/>
  <c r="J125" i="7"/>
  <c r="K125" i="7" s="1"/>
  <c r="J126" i="7"/>
  <c r="J127" i="7"/>
  <c r="J128" i="7"/>
  <c r="K128" i="7" s="1"/>
  <c r="J129" i="7"/>
  <c r="J130" i="7"/>
  <c r="J131" i="7"/>
  <c r="J132" i="7"/>
  <c r="K132" i="7" s="1"/>
  <c r="J133" i="7"/>
  <c r="K133" i="7" s="1"/>
  <c r="J134" i="7"/>
  <c r="J135" i="7"/>
  <c r="J136" i="7"/>
  <c r="J137" i="7"/>
  <c r="K137" i="7" s="1"/>
  <c r="J10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J107" i="7" s="1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J27" i="7"/>
  <c r="K27" i="7" s="1"/>
  <c r="J28" i="7"/>
  <c r="K28" i="7" s="1"/>
  <c r="J29" i="7"/>
  <c r="K29" i="7" s="1"/>
  <c r="J30" i="7"/>
  <c r="J31" i="7"/>
  <c r="K31" i="7" s="1"/>
  <c r="J32" i="7"/>
  <c r="K32" i="7" s="1"/>
  <c r="J33" i="7"/>
  <c r="J34" i="7"/>
  <c r="K34" i="7" s="1"/>
  <c r="J35" i="7"/>
  <c r="K35" i="7" s="1"/>
  <c r="J36" i="7"/>
  <c r="K36" i="7" s="1"/>
  <c r="J37" i="7"/>
  <c r="K37" i="7" s="1"/>
  <c r="J38" i="7"/>
  <c r="J39" i="7"/>
  <c r="K39" i="7" s="1"/>
  <c r="J40" i="7"/>
  <c r="K40" i="7" s="1"/>
  <c r="J41" i="7"/>
  <c r="J42" i="7"/>
  <c r="K42" i="7" s="1"/>
  <c r="J43" i="7"/>
  <c r="K43" i="7" s="1"/>
  <c r="J44" i="7"/>
  <c r="K44" i="7" s="1"/>
  <c r="J45" i="7"/>
  <c r="K45" i="7" s="1"/>
  <c r="J46" i="7"/>
  <c r="J47" i="7"/>
  <c r="K47" i="7" s="1"/>
  <c r="J48" i="7"/>
  <c r="K48" i="7" s="1"/>
  <c r="J49" i="7"/>
  <c r="J50" i="7"/>
  <c r="K50" i="7" s="1"/>
  <c r="J51" i="7"/>
  <c r="K51" i="7" s="1"/>
  <c r="J52" i="7"/>
  <c r="J53" i="7"/>
  <c r="J54" i="7"/>
  <c r="K54" i="7" s="1"/>
  <c r="J55" i="7"/>
  <c r="K55" i="7" s="1"/>
  <c r="K270" i="7"/>
  <c r="J270" i="7" s="1"/>
  <c r="K269" i="7"/>
  <c r="J269" i="7" s="1"/>
  <c r="K268" i="7"/>
  <c r="J268" i="7" s="1"/>
  <c r="K267" i="7"/>
  <c r="J267" i="7" s="1"/>
  <c r="K135" i="7"/>
  <c r="I25" i="7"/>
  <c r="J25" i="7" s="1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J26" i="7" s="1"/>
  <c r="J416" i="7"/>
  <c r="K416" i="7" s="1"/>
  <c r="J415" i="7"/>
  <c r="K415" i="7" s="1"/>
  <c r="J414" i="7"/>
  <c r="K414" i="7" s="1"/>
  <c r="J413" i="7"/>
  <c r="J412" i="7"/>
  <c r="K412" i="7" s="1"/>
  <c r="J407" i="7"/>
  <c r="K407" i="7" s="1"/>
  <c r="J406" i="7"/>
  <c r="K406" i="7" s="1"/>
  <c r="J405" i="7"/>
  <c r="K405" i="7" s="1"/>
  <c r="J404" i="7"/>
  <c r="J403" i="7"/>
  <c r="K403" i="7" s="1"/>
  <c r="J396" i="7"/>
  <c r="J397" i="7" s="1"/>
  <c r="J387" i="7"/>
  <c r="K387" i="7" s="1"/>
  <c r="J386" i="7"/>
  <c r="K386" i="7" s="1"/>
  <c r="J385" i="7"/>
  <c r="K385" i="7" s="1"/>
  <c r="J384" i="7"/>
  <c r="J383" i="7"/>
  <c r="K383" i="7" s="1"/>
  <c r="J377" i="7"/>
  <c r="K377" i="7" s="1"/>
  <c r="I377" i="7"/>
  <c r="J376" i="7"/>
  <c r="K376" i="7" s="1"/>
  <c r="I376" i="7"/>
  <c r="J375" i="7"/>
  <c r="K375" i="7" s="1"/>
  <c r="I375" i="7"/>
  <c r="J374" i="7"/>
  <c r="K374" i="7" s="1"/>
  <c r="I374" i="7"/>
  <c r="J373" i="7"/>
  <c r="K373" i="7" s="1"/>
  <c r="I373" i="7"/>
  <c r="J372" i="7"/>
  <c r="K372" i="7" s="1"/>
  <c r="I372" i="7"/>
  <c r="J371" i="7"/>
  <c r="I371" i="7"/>
  <c r="I370" i="7"/>
  <c r="J370" i="7" s="1"/>
  <c r="K370" i="7" s="1"/>
  <c r="J363" i="7"/>
  <c r="K363" i="7" s="1"/>
  <c r="J362" i="7"/>
  <c r="K362" i="7" s="1"/>
  <c r="J361" i="7"/>
  <c r="K361" i="7" s="1"/>
  <c r="J360" i="7"/>
  <c r="K360" i="7" s="1"/>
  <c r="J359" i="7"/>
  <c r="K359" i="7" s="1"/>
  <c r="I353" i="7"/>
  <c r="J353" i="7" s="1"/>
  <c r="K353" i="7" s="1"/>
  <c r="I352" i="7"/>
  <c r="J352" i="7" s="1"/>
  <c r="K352" i="7" s="1"/>
  <c r="I351" i="7"/>
  <c r="J351" i="7" s="1"/>
  <c r="K351" i="7" s="1"/>
  <c r="I350" i="7"/>
  <c r="J350" i="7" s="1"/>
  <c r="K350" i="7" s="1"/>
  <c r="I349" i="7"/>
  <c r="J349" i="7" s="1"/>
  <c r="K349" i="7" s="1"/>
  <c r="I348" i="7"/>
  <c r="J348" i="7" s="1"/>
  <c r="K348" i="7" s="1"/>
  <c r="J327" i="7"/>
  <c r="K327" i="7" s="1"/>
  <c r="J326" i="7"/>
  <c r="K320" i="7"/>
  <c r="J320" i="7" s="1"/>
  <c r="K319" i="7"/>
  <c r="K313" i="7"/>
  <c r="J313" i="7" s="1"/>
  <c r="K312" i="7"/>
  <c r="K306" i="7"/>
  <c r="J306" i="7" s="1"/>
  <c r="K305" i="7"/>
  <c r="K297" i="7"/>
  <c r="J297" i="7" s="1"/>
  <c r="J296" i="7"/>
  <c r="K289" i="7"/>
  <c r="J289" i="7" s="1"/>
  <c r="J288" i="7"/>
  <c r="K288" i="7" s="1"/>
  <c r="J287" i="7"/>
  <c r="K287" i="7" s="1"/>
  <c r="J286" i="7"/>
  <c r="K286" i="7" s="1"/>
  <c r="K279" i="7"/>
  <c r="J279" i="7" s="1"/>
  <c r="K278" i="7"/>
  <c r="J278" i="7" s="1"/>
  <c r="K277" i="7"/>
  <c r="J277" i="7" s="1"/>
  <c r="J260" i="7"/>
  <c r="K260" i="7" s="1"/>
  <c r="J259" i="7"/>
  <c r="K259" i="7" s="1"/>
  <c r="J258" i="7"/>
  <c r="K258" i="7" s="1"/>
  <c r="J257" i="7"/>
  <c r="K257" i="7" s="1"/>
  <c r="J256" i="7"/>
  <c r="K256" i="7" s="1"/>
  <c r="J255" i="7"/>
  <c r="K255" i="7" s="1"/>
  <c r="J254" i="7"/>
  <c r="K254" i="7" s="1"/>
  <c r="J253" i="7"/>
  <c r="K253" i="7" s="1"/>
  <c r="J252" i="7"/>
  <c r="K251" i="7"/>
  <c r="H244" i="7"/>
  <c r="J244" i="7" s="1"/>
  <c r="K244" i="7" s="1"/>
  <c r="H243" i="7"/>
  <c r="J243" i="7" s="1"/>
  <c r="K243" i="7" s="1"/>
  <c r="H242" i="7"/>
  <c r="J242" i="7" s="1"/>
  <c r="H235" i="7"/>
  <c r="J235" i="7" s="1"/>
  <c r="K235" i="7" s="1"/>
  <c r="H234" i="7"/>
  <c r="J234" i="7" s="1"/>
  <c r="K234" i="7" s="1"/>
  <c r="H233" i="7"/>
  <c r="J233" i="7" s="1"/>
  <c r="H226" i="7"/>
  <c r="J226" i="7" s="1"/>
  <c r="K226" i="7" s="1"/>
  <c r="H225" i="7"/>
  <c r="J225" i="7" s="1"/>
  <c r="K225" i="7" s="1"/>
  <c r="H224" i="7"/>
  <c r="J224" i="7" s="1"/>
  <c r="K224" i="7" s="1"/>
  <c r="H217" i="7"/>
  <c r="J217" i="7" s="1"/>
  <c r="K217" i="7" s="1"/>
  <c r="H216" i="7"/>
  <c r="J216" i="7" s="1"/>
  <c r="K216" i="7" s="1"/>
  <c r="H215" i="7"/>
  <c r="J215" i="7" s="1"/>
  <c r="K215" i="7" s="1"/>
  <c r="H214" i="7"/>
  <c r="J214" i="7" s="1"/>
  <c r="K214" i="7" s="1"/>
  <c r="H213" i="7"/>
  <c r="J213" i="7" s="1"/>
  <c r="K213" i="7" s="1"/>
  <c r="H212" i="7"/>
  <c r="J212" i="7" s="1"/>
  <c r="K212" i="7" s="1"/>
  <c r="H211" i="7"/>
  <c r="J211" i="7" s="1"/>
  <c r="K211" i="7" s="1"/>
  <c r="H210" i="7"/>
  <c r="J210" i="7" s="1"/>
  <c r="K210" i="7" s="1"/>
  <c r="H209" i="7"/>
  <c r="J209" i="7" s="1"/>
  <c r="K209" i="7" s="1"/>
  <c r="H208" i="7"/>
  <c r="J208" i="7" s="1"/>
  <c r="J207" i="7"/>
  <c r="K207" i="7" s="1"/>
  <c r="H201" i="7"/>
  <c r="K201" i="7" s="1"/>
  <c r="H200" i="7"/>
  <c r="K200" i="7" s="1"/>
  <c r="H199" i="7"/>
  <c r="K199" i="7" s="1"/>
  <c r="K198" i="7"/>
  <c r="H198" i="7"/>
  <c r="H197" i="7"/>
  <c r="K197" i="7" s="1"/>
  <c r="H196" i="7"/>
  <c r="K196" i="7" s="1"/>
  <c r="H195" i="7"/>
  <c r="K195" i="7" s="1"/>
  <c r="H194" i="7"/>
  <c r="K194" i="7" s="1"/>
  <c r="H193" i="7"/>
  <c r="J193" i="7" s="1"/>
  <c r="H192" i="7"/>
  <c r="J192" i="7" s="1"/>
  <c r="K191" i="7"/>
  <c r="H183" i="7"/>
  <c r="I183" i="7" s="1"/>
  <c r="H182" i="7"/>
  <c r="I182" i="7" s="1"/>
  <c r="H181" i="7"/>
  <c r="I181" i="7" s="1"/>
  <c r="H180" i="7"/>
  <c r="I180" i="7" s="1"/>
  <c r="H179" i="7"/>
  <c r="I179" i="7" s="1"/>
  <c r="H178" i="7"/>
  <c r="I178" i="7" s="1"/>
  <c r="H177" i="7"/>
  <c r="I177" i="7" s="1"/>
  <c r="H176" i="7"/>
  <c r="I176" i="7" s="1"/>
  <c r="H175" i="7"/>
  <c r="I175" i="7" s="1"/>
  <c r="H174" i="7"/>
  <c r="I174" i="7" s="1"/>
  <c r="H173" i="7"/>
  <c r="I173" i="7" s="1"/>
  <c r="H172" i="7"/>
  <c r="I172" i="7" s="1"/>
  <c r="H171" i="7"/>
  <c r="I171" i="7" s="1"/>
  <c r="H170" i="7"/>
  <c r="I170" i="7" s="1"/>
  <c r="H169" i="7"/>
  <c r="I169" i="7" s="1"/>
  <c r="H168" i="7"/>
  <c r="I168" i="7" s="1"/>
  <c r="H167" i="7"/>
  <c r="I167" i="7" s="1"/>
  <c r="H166" i="7"/>
  <c r="I166" i="7" s="1"/>
  <c r="H165" i="7"/>
  <c r="I165" i="7" s="1"/>
  <c r="H164" i="7"/>
  <c r="I164" i="7" s="1"/>
  <c r="H163" i="7"/>
  <c r="I163" i="7" s="1"/>
  <c r="H162" i="7"/>
  <c r="I162" i="7" s="1"/>
  <c r="H161" i="7"/>
  <c r="I161" i="7" s="1"/>
  <c r="H160" i="7"/>
  <c r="I160" i="7" s="1"/>
  <c r="H159" i="7"/>
  <c r="I159" i="7" s="1"/>
  <c r="H158" i="7"/>
  <c r="I158" i="7" s="1"/>
  <c r="H157" i="7"/>
  <c r="I157" i="7" s="1"/>
  <c r="H156" i="7"/>
  <c r="I156" i="7" s="1"/>
  <c r="H155" i="7"/>
  <c r="I155" i="7" s="1"/>
  <c r="H154" i="7"/>
  <c r="I154" i="7" s="1"/>
  <c r="I153" i="7"/>
  <c r="J153" i="7" s="1"/>
  <c r="K153" i="7" s="1"/>
  <c r="K136" i="7"/>
  <c r="K134" i="7"/>
  <c r="K131" i="7"/>
  <c r="K130" i="7"/>
  <c r="K129" i="7"/>
  <c r="K127" i="7"/>
  <c r="K126" i="7"/>
  <c r="K123" i="7"/>
  <c r="K122" i="7"/>
  <c r="K119" i="7"/>
  <c r="K118" i="7"/>
  <c r="K115" i="7"/>
  <c r="K114" i="7"/>
  <c r="K113" i="7"/>
  <c r="K111" i="7"/>
  <c r="K110" i="7"/>
  <c r="H101" i="7"/>
  <c r="H100" i="7"/>
  <c r="J100" i="7" s="1"/>
  <c r="K100" i="7" s="1"/>
  <c r="H99" i="7"/>
  <c r="I99" i="7" s="1"/>
  <c r="H98" i="7"/>
  <c r="J98" i="7" s="1"/>
  <c r="K98" i="7" s="1"/>
  <c r="H97" i="7"/>
  <c r="J97" i="7" s="1"/>
  <c r="K97" i="7" s="1"/>
  <c r="H96" i="7"/>
  <c r="J96" i="7" s="1"/>
  <c r="K96" i="7" s="1"/>
  <c r="H95" i="7"/>
  <c r="I95" i="7" s="1"/>
  <c r="H94" i="7"/>
  <c r="J94" i="7" s="1"/>
  <c r="K94" i="7" s="1"/>
  <c r="H93" i="7"/>
  <c r="J93" i="7" s="1"/>
  <c r="K93" i="7" s="1"/>
  <c r="H92" i="7"/>
  <c r="J92" i="7" s="1"/>
  <c r="K92" i="7" s="1"/>
  <c r="H91" i="7"/>
  <c r="I91" i="7" s="1"/>
  <c r="H90" i="7"/>
  <c r="J90" i="7" s="1"/>
  <c r="K90" i="7" s="1"/>
  <c r="H89" i="7"/>
  <c r="J89" i="7" s="1"/>
  <c r="K89" i="7" s="1"/>
  <c r="H88" i="7"/>
  <c r="J88" i="7" s="1"/>
  <c r="K88" i="7" s="1"/>
  <c r="H87" i="7"/>
  <c r="I87" i="7" s="1"/>
  <c r="H86" i="7"/>
  <c r="J86" i="7" s="1"/>
  <c r="K86" i="7" s="1"/>
  <c r="H85" i="7"/>
  <c r="J85" i="7" s="1"/>
  <c r="K85" i="7" s="1"/>
  <c r="H84" i="7"/>
  <c r="H83" i="7"/>
  <c r="I83" i="7" s="1"/>
  <c r="H82" i="7"/>
  <c r="J82" i="7" s="1"/>
  <c r="K82" i="7" s="1"/>
  <c r="H81" i="7"/>
  <c r="J81" i="7" s="1"/>
  <c r="K81" i="7" s="1"/>
  <c r="H80" i="7"/>
  <c r="J80" i="7" s="1"/>
  <c r="K80" i="7" s="1"/>
  <c r="H79" i="7"/>
  <c r="I79" i="7" s="1"/>
  <c r="H78" i="7"/>
  <c r="J78" i="7" s="1"/>
  <c r="K78" i="7" s="1"/>
  <c r="H77" i="7"/>
  <c r="J77" i="7" s="1"/>
  <c r="K77" i="7" s="1"/>
  <c r="H76" i="7"/>
  <c r="J76" i="7" s="1"/>
  <c r="K76" i="7" s="1"/>
  <c r="H75" i="7"/>
  <c r="I75" i="7" s="1"/>
  <c r="H74" i="7"/>
  <c r="J74" i="7" s="1"/>
  <c r="K74" i="7" s="1"/>
  <c r="H73" i="7"/>
  <c r="J73" i="7" s="1"/>
  <c r="K73" i="7" s="1"/>
  <c r="H72" i="7"/>
  <c r="I71" i="7"/>
  <c r="J71" i="7" s="1"/>
  <c r="K71" i="7" s="1"/>
  <c r="K53" i="7"/>
  <c r="K52" i="7"/>
  <c r="K49" i="7"/>
  <c r="K46" i="7"/>
  <c r="K41" i="7"/>
  <c r="K38" i="7"/>
  <c r="K33" i="7"/>
  <c r="K30" i="7"/>
  <c r="L69" i="6"/>
  <c r="K46" i="5" s="1"/>
  <c r="L66" i="6"/>
  <c r="K43" i="5" s="1"/>
  <c r="L64" i="6"/>
  <c r="K41" i="5" s="1"/>
  <c r="F30" i="6"/>
  <c r="F29" i="6"/>
  <c r="F28" i="6"/>
  <c r="F27" i="6"/>
  <c r="J66" i="7" l="1"/>
  <c r="K193" i="7"/>
  <c r="I94" i="7"/>
  <c r="I97" i="7"/>
  <c r="K252" i="7"/>
  <c r="J261" i="7"/>
  <c r="J148" i="7"/>
  <c r="I78" i="7"/>
  <c r="I81" i="7"/>
  <c r="K314" i="7"/>
  <c r="J101" i="7"/>
  <c r="K101" i="7" s="1"/>
  <c r="L62" i="6"/>
  <c r="K39" i="5" s="1"/>
  <c r="I73" i="7"/>
  <c r="I86" i="7"/>
  <c r="I89" i="7"/>
  <c r="K307" i="7"/>
  <c r="I14" i="8"/>
  <c r="L81" i="6"/>
  <c r="I82" i="7"/>
  <c r="I85" i="7"/>
  <c r="I74" i="7"/>
  <c r="I77" i="7"/>
  <c r="I90" i="7"/>
  <c r="I93" i="7"/>
  <c r="I98" i="7"/>
  <c r="I101" i="7"/>
  <c r="K321" i="7"/>
  <c r="J417" i="7"/>
  <c r="J408" i="7"/>
  <c r="J75" i="7"/>
  <c r="K75" i="7" s="1"/>
  <c r="J79" i="7"/>
  <c r="K79" i="7" s="1"/>
  <c r="J83" i="7"/>
  <c r="K83" i="7" s="1"/>
  <c r="J87" i="7"/>
  <c r="K87" i="7" s="1"/>
  <c r="J91" i="7"/>
  <c r="K91" i="7" s="1"/>
  <c r="J95" i="7"/>
  <c r="K95" i="7" s="1"/>
  <c r="J99" i="7"/>
  <c r="K99" i="7" s="1"/>
  <c r="K396" i="7"/>
  <c r="K397" i="7" s="1"/>
  <c r="K227" i="7"/>
  <c r="J298" i="7"/>
  <c r="K55" i="6" s="1"/>
  <c r="J271" i="7"/>
  <c r="K52" i="6" s="1"/>
  <c r="I72" i="7"/>
  <c r="J72" i="7" s="1"/>
  <c r="I76" i="7"/>
  <c r="I100" i="7"/>
  <c r="J378" i="7"/>
  <c r="J388" i="7"/>
  <c r="K58" i="6" s="1"/>
  <c r="I80" i="7"/>
  <c r="I84" i="7"/>
  <c r="J84" i="7" s="1"/>
  <c r="K84" i="7" s="1"/>
  <c r="I88" i="7"/>
  <c r="I92" i="7"/>
  <c r="I96" i="7"/>
  <c r="K364" i="7"/>
  <c r="K280" i="7"/>
  <c r="L53" i="6" s="1"/>
  <c r="K290" i="7"/>
  <c r="L54" i="6" s="1"/>
  <c r="J305" i="7"/>
  <c r="J307" i="7" s="1"/>
  <c r="J312" i="7"/>
  <c r="J314" i="7" s="1"/>
  <c r="J319" i="7"/>
  <c r="J321" i="7" s="1"/>
  <c r="J328" i="7"/>
  <c r="K271" i="7"/>
  <c r="L52" i="6" s="1"/>
  <c r="K337" i="7"/>
  <c r="K338" i="7"/>
  <c r="K107" i="7"/>
  <c r="K26" i="7"/>
  <c r="K66" i="7" s="1"/>
  <c r="K25" i="7"/>
  <c r="J245" i="7"/>
  <c r="K242" i="7"/>
  <c r="K245" i="7" s="1"/>
  <c r="K261" i="7"/>
  <c r="J280" i="7"/>
  <c r="K53" i="6" s="1"/>
  <c r="K108" i="7"/>
  <c r="K148" i="7" s="1"/>
  <c r="J202" i="7"/>
  <c r="K192" i="7"/>
  <c r="K354" i="7"/>
  <c r="J236" i="7"/>
  <c r="K233" i="7"/>
  <c r="K236" i="7" s="1"/>
  <c r="J218" i="7"/>
  <c r="J227" i="7"/>
  <c r="J290" i="7"/>
  <c r="K54" i="6" s="1"/>
  <c r="J154" i="7"/>
  <c r="J155" i="7"/>
  <c r="K155" i="7" s="1"/>
  <c r="J156" i="7"/>
  <c r="K156" i="7" s="1"/>
  <c r="J157" i="7"/>
  <c r="K157" i="7" s="1"/>
  <c r="J158" i="7"/>
  <c r="K158" i="7" s="1"/>
  <c r="J159" i="7"/>
  <c r="K159" i="7" s="1"/>
  <c r="J160" i="7"/>
  <c r="K160" i="7" s="1"/>
  <c r="J161" i="7"/>
  <c r="K161" i="7" s="1"/>
  <c r="J162" i="7"/>
  <c r="K162" i="7" s="1"/>
  <c r="J163" i="7"/>
  <c r="K163" i="7" s="1"/>
  <c r="J164" i="7"/>
  <c r="K164" i="7" s="1"/>
  <c r="J165" i="7"/>
  <c r="K165" i="7" s="1"/>
  <c r="J166" i="7"/>
  <c r="K166" i="7" s="1"/>
  <c r="J167" i="7"/>
  <c r="K167" i="7" s="1"/>
  <c r="J168" i="7"/>
  <c r="K168" i="7" s="1"/>
  <c r="J169" i="7"/>
  <c r="K169" i="7" s="1"/>
  <c r="J170" i="7"/>
  <c r="K170" i="7" s="1"/>
  <c r="J171" i="7"/>
  <c r="K171" i="7" s="1"/>
  <c r="J172" i="7"/>
  <c r="K172" i="7" s="1"/>
  <c r="J173" i="7"/>
  <c r="K173" i="7" s="1"/>
  <c r="J174" i="7"/>
  <c r="K174" i="7" s="1"/>
  <c r="J175" i="7"/>
  <c r="K175" i="7" s="1"/>
  <c r="J176" i="7"/>
  <c r="K176" i="7" s="1"/>
  <c r="J177" i="7"/>
  <c r="K177" i="7" s="1"/>
  <c r="J178" i="7"/>
  <c r="K178" i="7" s="1"/>
  <c r="J179" i="7"/>
  <c r="K179" i="7" s="1"/>
  <c r="J180" i="7"/>
  <c r="K180" i="7" s="1"/>
  <c r="J181" i="7"/>
  <c r="K181" i="7" s="1"/>
  <c r="J182" i="7"/>
  <c r="K182" i="7" s="1"/>
  <c r="J183" i="7"/>
  <c r="K183" i="7" s="1"/>
  <c r="K296" i="7"/>
  <c r="K298" i="7" s="1"/>
  <c r="L55" i="6" s="1"/>
  <c r="K326" i="7"/>
  <c r="K328" i="7" s="1"/>
  <c r="J354" i="7"/>
  <c r="J364" i="7"/>
  <c r="K371" i="7"/>
  <c r="K378" i="7" s="1"/>
  <c r="K384" i="7"/>
  <c r="K388" i="7" s="1"/>
  <c r="L58" i="6" s="1"/>
  <c r="K404" i="7"/>
  <c r="K408" i="7" s="1"/>
  <c r="K413" i="7"/>
  <c r="K417" i="7" s="1"/>
  <c r="K208" i="7"/>
  <c r="K218" i="7" s="1"/>
  <c r="J418" i="7" l="1"/>
  <c r="K59" i="6" s="1"/>
  <c r="K202" i="7"/>
  <c r="K72" i="7"/>
  <c r="K102" i="7" s="1"/>
  <c r="J102" i="7"/>
  <c r="K50" i="5"/>
  <c r="L83" i="6"/>
  <c r="K28" i="6" s="1"/>
  <c r="K56" i="6"/>
  <c r="L56" i="6"/>
  <c r="K418" i="7"/>
  <c r="L59" i="6" s="1"/>
  <c r="K336" i="7"/>
  <c r="J342" i="7"/>
  <c r="K342" i="7"/>
  <c r="L57" i="6" s="1"/>
  <c r="J184" i="7"/>
  <c r="K154" i="7"/>
  <c r="K184" i="7" s="1"/>
  <c r="K51" i="6" l="1"/>
  <c r="L51" i="6"/>
  <c r="L60" i="6" s="1"/>
  <c r="G27" i="6" s="1"/>
  <c r="E30" i="5" s="1"/>
  <c r="J14" i="7"/>
  <c r="K57" i="6"/>
  <c r="D14" i="6"/>
  <c r="I11" i="5"/>
  <c r="I10" i="5"/>
  <c r="I9" i="5"/>
  <c r="AK13" i="2"/>
  <c r="AK9" i="2"/>
  <c r="D11" i="6"/>
  <c r="I41" i="6" s="1"/>
  <c r="D10" i="6"/>
  <c r="I27" i="6" l="1"/>
  <c r="H27" i="6"/>
  <c r="I43" i="6"/>
  <c r="I42" i="6"/>
  <c r="K60" i="6"/>
  <c r="K14" i="7"/>
  <c r="K16" i="7" s="1"/>
  <c r="K68" i="6"/>
  <c r="E45" i="5" s="1"/>
  <c r="I40" i="6"/>
  <c r="I39" i="6"/>
  <c r="P39" i="6"/>
  <c r="H39" i="6" s="1"/>
  <c r="F125" i="5" s="1"/>
  <c r="P40" i="6"/>
  <c r="H40" i="6" s="1"/>
  <c r="F126" i="5" s="1"/>
  <c r="P43" i="6"/>
  <c r="H43" i="6" s="1"/>
  <c r="F129" i="5" s="1"/>
  <c r="P42" i="6"/>
  <c r="H42" i="6" s="1"/>
  <c r="F128" i="5" s="1"/>
  <c r="P41" i="6"/>
  <c r="H41" i="6" s="1"/>
  <c r="F127" i="5" s="1"/>
  <c r="G29" i="6"/>
  <c r="E32" i="5" s="1"/>
  <c r="G30" i="6"/>
  <c r="E33" i="5" s="1"/>
  <c r="I29" i="6" l="1"/>
  <c r="H29" i="6"/>
  <c r="I30" i="6"/>
  <c r="H30" i="6"/>
  <c r="L68" i="6"/>
  <c r="H128" i="5"/>
  <c r="J42" i="6"/>
  <c r="H129" i="5"/>
  <c r="J43" i="6"/>
  <c r="H125" i="5"/>
  <c r="J39" i="6"/>
  <c r="H126" i="5"/>
  <c r="J40" i="6"/>
  <c r="H127" i="5"/>
  <c r="J41" i="6"/>
  <c r="B42" i="6"/>
  <c r="A128" i="5" s="1"/>
  <c r="B39" i="6"/>
  <c r="A125" i="5" s="1"/>
  <c r="B43" i="6"/>
  <c r="A129" i="5" s="1"/>
  <c r="B41" i="6"/>
  <c r="A127" i="5" s="1"/>
  <c r="B40" i="6"/>
  <c r="A126" i="5" s="1"/>
  <c r="L70" i="6" l="1"/>
  <c r="K27" i="6" s="1"/>
  <c r="O26" i="6" s="1"/>
  <c r="K45" i="5"/>
  <c r="J44" i="6"/>
  <c r="I44" i="6" s="1"/>
  <c r="H130" i="5" s="1"/>
  <c r="B60" i="5"/>
  <c r="B59" i="5"/>
  <c r="B58" i="5"/>
  <c r="B46" i="5"/>
  <c r="B44" i="5"/>
  <c r="B43" i="5"/>
  <c r="B42" i="5"/>
  <c r="B41" i="5"/>
  <c r="B40" i="5"/>
  <c r="I104" i="5"/>
  <c r="I103" i="5"/>
  <c r="I102" i="5"/>
  <c r="I101" i="5"/>
  <c r="I99" i="5"/>
  <c r="I98" i="5"/>
  <c r="I97" i="5"/>
  <c r="I96" i="5"/>
  <c r="I95" i="5"/>
  <c r="I93" i="5"/>
  <c r="I92" i="5"/>
  <c r="I91" i="5"/>
  <c r="I90" i="5"/>
  <c r="I89" i="5"/>
  <c r="C11" i="5"/>
  <c r="AK17" i="2"/>
  <c r="K62" i="5" l="1"/>
  <c r="J59" i="5"/>
  <c r="J58" i="5"/>
  <c r="J57" i="5"/>
  <c r="J51" i="5"/>
  <c r="J50" i="5"/>
  <c r="J49" i="5"/>
  <c r="J38" i="5"/>
  <c r="J46" i="5"/>
  <c r="J45" i="5"/>
  <c r="J43" i="5"/>
  <c r="J41" i="5"/>
  <c r="J39" i="5"/>
  <c r="D56" i="5"/>
  <c r="D55" i="5"/>
  <c r="D54" i="5"/>
  <c r="D53" i="5"/>
  <c r="D52" i="5"/>
  <c r="K33" i="5"/>
  <c r="K32" i="5"/>
  <c r="D33" i="5"/>
  <c r="D32" i="5"/>
  <c r="D31" i="5"/>
  <c r="D30" i="5"/>
  <c r="AK15" i="2"/>
  <c r="I16" i="5" s="1"/>
  <c r="C16" i="5"/>
  <c r="AK14" i="2"/>
  <c r="AK11" i="2"/>
  <c r="C10" i="5" s="1"/>
  <c r="C9" i="5"/>
  <c r="C163" i="5" s="1"/>
  <c r="J100" i="5"/>
  <c r="L59" i="5"/>
  <c r="L58" i="5"/>
  <c r="L56" i="5"/>
  <c r="L55" i="5"/>
  <c r="L54" i="5"/>
  <c r="L53" i="5"/>
  <c r="L52" i="5"/>
  <c r="L51" i="5"/>
  <c r="L50" i="5"/>
  <c r="L46" i="5"/>
  <c r="L45" i="5"/>
  <c r="L43" i="5"/>
  <c r="L41" i="5"/>
  <c r="L39" i="5"/>
  <c r="K30" i="5"/>
  <c r="L61" i="5" l="1"/>
  <c r="K38" i="5"/>
  <c r="I163" i="5"/>
  <c r="K49" i="5"/>
  <c r="I119" i="2" l="1"/>
  <c r="D99" i="5"/>
  <c r="J99" i="5" s="1"/>
  <c r="D98" i="5"/>
  <c r="J98" i="5" s="1"/>
  <c r="D97" i="5"/>
  <c r="J97" i="5" s="1"/>
  <c r="D96" i="5"/>
  <c r="J96" i="5" s="1"/>
  <c r="D95" i="5"/>
  <c r="J95" i="5" s="1"/>
  <c r="N101" i="2" l="1"/>
  <c r="D104" i="5" s="1"/>
  <c r="J104" i="5" s="1"/>
  <c r="N100" i="2"/>
  <c r="D103" i="5" s="1"/>
  <c r="J103" i="5" s="1"/>
  <c r="N99" i="2"/>
  <c r="D102" i="5" s="1"/>
  <c r="J102" i="5" s="1"/>
  <c r="N98" i="2"/>
  <c r="D101" i="5" s="1"/>
  <c r="J101" i="5" s="1"/>
  <c r="D98" i="2"/>
  <c r="D89" i="5" s="1"/>
  <c r="J89" i="5" s="1"/>
  <c r="D102" i="2"/>
  <c r="D93" i="5" s="1"/>
  <c r="J93" i="5" s="1"/>
  <c r="D101" i="2"/>
  <c r="D92" i="5" s="1"/>
  <c r="J92" i="5" s="1"/>
  <c r="D100" i="2"/>
  <c r="D91" i="5" s="1"/>
  <c r="J91" i="5" s="1"/>
  <c r="D99" i="2"/>
  <c r="D90" i="5" s="1"/>
  <c r="J90" i="5" s="1"/>
  <c r="AC14" i="2"/>
  <c r="K73" i="2"/>
  <c r="AQ22" i="2"/>
  <c r="D59" i="5" s="1"/>
  <c r="AP22" i="2"/>
  <c r="D58" i="5" s="1"/>
  <c r="AO21" i="2"/>
  <c r="AN21" i="2"/>
  <c r="AM21" i="2"/>
  <c r="AL21" i="2"/>
  <c r="AK21" i="2"/>
  <c r="AJ22" i="2"/>
  <c r="D50" i="5" s="1"/>
  <c r="AI22" i="2"/>
  <c r="D46" i="5" s="1"/>
  <c r="AH22" i="2"/>
  <c r="D45" i="5" s="1"/>
  <c r="AF22" i="2"/>
  <c r="D43" i="5" s="1"/>
  <c r="O25" i="6" l="1"/>
  <c r="P26" i="6" s="1"/>
  <c r="K26" i="6" s="1"/>
  <c r="L62" i="5"/>
  <c r="F107" i="5"/>
  <c r="J107" i="5" s="1"/>
  <c r="F110" i="5"/>
  <c r="J110" i="5" s="1"/>
  <c r="F108" i="5"/>
  <c r="J108" i="5" s="1"/>
  <c r="F109" i="5"/>
  <c r="J109" i="5" s="1"/>
  <c r="AD22" i="2"/>
  <c r="D41" i="5" s="1"/>
  <c r="D39" i="5"/>
  <c r="AK22" i="2"/>
  <c r="I67" i="2"/>
  <c r="J29" i="6" s="1"/>
  <c r="I43" i="2"/>
  <c r="F26" i="6" s="1"/>
  <c r="AD9" i="2"/>
  <c r="AC17" i="2"/>
  <c r="AC15" i="2"/>
  <c r="A75" i="2"/>
  <c r="AD11" i="2"/>
  <c r="A64" i="5" l="1"/>
  <c r="I37" i="2"/>
  <c r="E26" i="6"/>
  <c r="E25" i="6"/>
  <c r="F25" i="6" s="1"/>
  <c r="J111" i="5"/>
  <c r="D57" i="5"/>
  <c r="L29" i="6"/>
  <c r="I47" i="2"/>
  <c r="J27" i="6" s="1"/>
  <c r="I61" i="2"/>
  <c r="D51" i="5"/>
  <c r="I58" i="2"/>
  <c r="J28" i="6" s="1"/>
  <c r="AG15" i="2"/>
  <c r="A35" i="2"/>
  <c r="A26" i="5" s="1"/>
  <c r="L43" i="2"/>
  <c r="K40" i="2"/>
  <c r="T42" i="2"/>
  <c r="H74" i="2"/>
  <c r="A28" i="2"/>
  <c r="A21" i="5" s="1"/>
  <c r="N3" i="4"/>
  <c r="L28" i="6" l="1"/>
  <c r="L27" i="6"/>
  <c r="J112" i="5"/>
  <c r="W44" i="2"/>
  <c r="L22" i="5"/>
  <c r="L25" i="5" s="1"/>
  <c r="K41" i="2"/>
  <c r="Q41" i="2" s="1"/>
  <c r="K42" i="2"/>
  <c r="J33" i="5" s="1"/>
  <c r="L33" i="5" s="1"/>
  <c r="K39" i="2"/>
  <c r="J30" i="5" s="1"/>
  <c r="L30" i="5" s="1"/>
  <c r="D38" i="5"/>
  <c r="I73" i="2"/>
  <c r="I74" i="2" s="1"/>
  <c r="J26" i="6" s="1"/>
  <c r="D49" i="5"/>
  <c r="Q40" i="2"/>
  <c r="J31" i="5"/>
  <c r="B44" i="2"/>
  <c r="B35" i="5" s="1"/>
  <c r="B36" i="2"/>
  <c r="B27" i="5" s="1"/>
  <c r="L121" i="5" l="1"/>
  <c r="E135" i="5" s="1"/>
  <c r="J32" i="5"/>
  <c r="L32" i="5" s="1"/>
  <c r="K43" i="2"/>
  <c r="Q39" i="2"/>
  <c r="Q42" i="2"/>
  <c r="L77" i="6" l="1"/>
  <c r="H81" i="8"/>
  <c r="K76" i="6" s="1"/>
  <c r="K77" i="6"/>
  <c r="I81" i="8"/>
  <c r="L76" i="6" s="1"/>
  <c r="G25" i="6" l="1"/>
  <c r="L79" i="6"/>
  <c r="G28" i="6" s="1"/>
  <c r="E31" i="5" s="1"/>
  <c r="K79" i="6"/>
  <c r="F31" i="6"/>
  <c r="I28" i="6" l="1"/>
  <c r="H28" i="6"/>
  <c r="G26" i="6"/>
  <c r="G31" i="6" l="1"/>
  <c r="H31" i="6" s="1"/>
  <c r="I26" i="6"/>
  <c r="H26" i="6"/>
  <c r="K31" i="5"/>
  <c r="L31" i="5" s="1"/>
  <c r="L34" i="5" s="1"/>
  <c r="L63" i="5" s="1"/>
  <c r="L26" i="6"/>
  <c r="L83" i="5" l="1"/>
  <c r="E134" i="5" s="1"/>
  <c r="E13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LA-OR-RI</author>
  </authors>
  <commentList>
    <comment ref="I7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เทียบบัญญัติไตรยางค์จากน้ำหนักรวมร้อยละ 25 เป็นร้อยละน้ำหนักตามตำแหน่งบริหาร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LA-OR-RI</author>
    <author>raphael_winds@hotmail.com</author>
    <author>OR-RI</author>
  </authors>
  <commentList>
    <comment ref="L6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คะแนนรวมร้อยละ 25</t>
        </r>
      </text>
    </comment>
    <comment ref="L6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เทียบบัญญัติไตรยางค์จากน้ำหนักรวมร้อยละ 25 เป็นร้อยละน้ำหนักตามตำแหน่ง</t>
        </r>
      </text>
    </comment>
    <comment ref="D87" authorId="1" shapeId="0" xr:uid="{00000000-0006-0000-0200-000003000000}">
      <text>
        <r>
          <rPr>
            <sz val="9"/>
            <color indexed="81"/>
            <rFont val="Tahoma"/>
            <family val="2"/>
          </rPr>
          <t>กำหนดค่ามาตรฐานหลักตามตำแหน่งทางวิชาการ (อ. / ผศ. / รศ. / ศ.)</t>
        </r>
      </text>
    </comment>
    <comment ref="A89" authorId="1" shapeId="0" xr:uid="{00000000-0006-0000-0200-000004000000}">
      <text>
        <r>
          <rPr>
            <b/>
            <u/>
            <sz val="9"/>
            <color indexed="81"/>
            <rFont val="Tahoma"/>
            <family val="2"/>
          </rPr>
          <t xml:space="preserve">ความใฝ่รู้
</t>
        </r>
        <r>
          <rPr>
            <sz val="9"/>
            <color indexed="81"/>
            <rFont val="Tahoma"/>
            <family val="2"/>
          </rPr>
          <t xml:space="preserve">
5 : สร้างวัฒนธรรมแห่งการเรียนรู้ เป็นบุคคลแห่งการเรียนรู้ มีการนำข้อมูลภายนอกมาปรับใช้เพื่อให้เกิดความเปลี่ยนแปลงและแก้ปัญหาในระดับมหาวิทยาลัย
4 : มีการนำความรู้จากการศึกษาค้นคว้ามาปรับปรุงการทำงานทั้งเชิงลึกและเชิงกว้างอย่างต่อเนื่อง สามารถถ่ายทอดและเพิ่มทักษะให้กับผู้อื่นทั้งในและนอกหน่วยงาน
3 : มีความใฝ่รู้ มีการนำข้อมูลจากการศึกษาค้นคว้ามาปรับปรุงการทำงานให้มีประสิทธิภาพมากขึ้น
2 : มีการศึกษา ค้นคว้า และรับข้อมูลที่เป็นประโยชน์มาประยุกต์ใช้ในการปฏิบัติงาน
1 : มีความเข้าใจถึงประโยชน์ของการใฝ่รู้
0 : ไม่แสดงสมรรถนะด้านนี้อย่างชัดเจน</t>
        </r>
      </text>
    </comment>
    <comment ref="A90" authorId="2" shapeId="0" xr:uid="{00000000-0006-0000-0200-000005000000}">
      <text>
        <r>
          <rPr>
            <b/>
            <u/>
            <sz val="9"/>
            <color indexed="81"/>
            <rFont val="Tahoma"/>
            <family val="2"/>
          </rPr>
          <t xml:space="preserve">การทำงานเป็นทีมและการสร้างเครือข่าย
</t>
        </r>
        <r>
          <rPr>
            <sz val="9"/>
            <color indexed="81"/>
            <rFont val="Tahoma"/>
            <family val="2"/>
          </rPr>
          <t>5 : สร้างทีมงานที่มีความโดดเด่น ที่สร้างผลงานที่เป็นตัวอย่างทั้งภายในและภายนอกมหาวิทยาลัย
4 : เป็นตัวอย่างและถ่ายทอดความรู้ด้านการทำงานเป็นทีมได้เป็นอย่างดี สนับสนุนและให้กำลังใจสมาชิกอื่นในทีมเพื่อให้งานประสบความสำเร็จ
3 : นำผลจากการทำงานเป็นทีมไปปรับปรุงและแก้ปัญหาการทำงานของหน่วยงานอย่างต่อเนื่อง
2 : สามารถทำงานเป็นทีมร่วมกับผู้อื่นได้
1 : มีความเข้าใจถึงประโยชน์ของการทำงานแบบทีมงาน แต่ยังไม่ได้ปฏิบัติ
0 : ไม่แสดงสมรรถนะด้านนี้อย่างชัดเจน</t>
        </r>
      </text>
    </comment>
    <comment ref="A91" authorId="2" shapeId="0" xr:uid="{00000000-0006-0000-0200-000006000000}">
      <text>
        <r>
          <rPr>
            <b/>
            <u/>
            <sz val="9"/>
            <color indexed="81"/>
            <rFont val="Tahoma"/>
            <family val="2"/>
          </rPr>
          <t>ความคิดริเริ่มสร้างสรรค์</t>
        </r>
        <r>
          <rPr>
            <sz val="9"/>
            <color indexed="81"/>
            <rFont val="Tahoma"/>
            <family val="2"/>
          </rPr>
          <t xml:space="preserve">
5 : มีผลงานที่เกิดจากความคิดสร้างสรรค์ เป็นที่ยอมรับเชิงประจักษ์ในระดับชาติและนานาชาติ
4 : มีผลงานที่เกิดจากความคิดริเริ่มสร้างสรรค์ในหน่วยงาน ถ่ายทอดกระบวนการคิดเพื่อกระตุ้นให้เพื่อนร่วมงานมีความคิดสร้างสรรค์ ในการทำงาน
3 : นำความคิดริเริ่มสร้างสรรค์ไปใช้ในระดับหน่วยงาน
2 : มีความคิดสร้างสรรค์และนำมาปฏิบัติงาน
1 : มีความเข้าใจถึงประโยชน์ของการคิดริเริ่มสร้างสรรค์
0 : ไม่แสดงสมรรถนะด้านนี้อย่างชัดเจน</t>
        </r>
      </text>
    </comment>
    <comment ref="A92" authorId="2" shapeId="0" xr:uid="{00000000-0006-0000-0200-000007000000}">
      <text>
        <r>
          <rPr>
            <b/>
            <u/>
            <sz val="9"/>
            <color indexed="81"/>
            <rFont val="Tahoma"/>
            <family val="2"/>
          </rPr>
          <t>ความสามารถในการใช้ภาษาต่างประเทศ</t>
        </r>
        <r>
          <rPr>
            <sz val="9"/>
            <color indexed="81"/>
            <rFont val="Tahoma"/>
            <family val="2"/>
          </rPr>
          <t xml:space="preserve">
5 : สามารถนำเสนอหรือผลิตผลงานเป็นภาษาต่างประเทศได้
4 : มีความรู้ความสามารถในการใช้ภาษาต่างประเทศได้ดีสามารถนำไปใช้ในการติดต่อประสานงานของมหาวิทยาลัยทั้งในและระดับต่างประเทศ
3 : มีการใช้ภาษาต่างประเทศเพื่อการติดต่อสื่อสารได้อย่างถูกต้องและเหมาะสม ครบทุกทักษะ
2 : มีการใช้ภาษาต่างประเทศเพื่อการติดต่อสื่อสารได้อย่างเหมาะสมตามตำแหน่งงาน
1 : มีความรู้ภาษาต่างประเทศ และสามารถใช้ได้บางทักษะ
0 : ไม่มีทักษะในการใช้ภาษาต่างประเทศ</t>
        </r>
      </text>
    </comment>
    <comment ref="A93" authorId="2" shapeId="0" xr:uid="{00000000-0006-0000-0200-000008000000}">
      <text>
        <r>
          <rPr>
            <b/>
            <u/>
            <sz val="9"/>
            <color indexed="81"/>
            <rFont val="Tahoma"/>
            <family val="2"/>
          </rPr>
          <t>ทักษะด้านการใช้เทคโนโลยีสารสนเทศ</t>
        </r>
        <r>
          <rPr>
            <sz val="9"/>
            <color indexed="81"/>
            <rFont val="Tahoma"/>
            <family val="2"/>
          </rPr>
          <t xml:space="preserve">
5 : ส่งเสริมหรือพัฒนาระบบเทคโนโลยีสารสนเทศให้เป็นต้นแบบ สามารถนำไปใช้ประโยชน์ได้ดี ทั้งในและนอกองค์กร
4 : สามารถถ่ายทอดความรู้และทักษะด้านเทคโนโลยีสารสนเทศแก่ผู้อื่นในองค์กรได้
3 : ใช้ความรู้และทักษะด้านเทคโนโลยีสารสนเทศ มาประยุกต์ใช้ในการปฏิบัติงานและมีการปรับปรุงพัฒนาระบบงานอย่างต่อเนื่อง
2 : มีทักษะด้านเทคโนโลยีสารสนเทศ สามารถประยุกต์ใช้ในการปฏิบัติงานได้อย่างเหมาะสมตามตำแหน่งงาน
1 : มีความรู้ด้านเทคโนโลยีสารสนเทศ แต่ไม่สามารถนำมาปฏิบัติได้
0 : ไม่สามารถใช้เทคโนโลยีสารสนเทศได้</t>
        </r>
      </text>
    </comment>
    <comment ref="A95" authorId="2" shapeId="0" xr:uid="{00000000-0006-0000-0200-000009000000}">
      <text>
        <r>
          <rPr>
            <b/>
            <u/>
            <sz val="9"/>
            <color indexed="81"/>
            <rFont val="Tahoma"/>
            <family val="2"/>
          </rPr>
          <t>ทักษะการให้คำปรึกษา</t>
        </r>
        <r>
          <rPr>
            <sz val="9"/>
            <color indexed="81"/>
            <rFont val="Tahoma"/>
            <family val="2"/>
          </rPr>
          <t xml:space="preserve">
5 : กระตุ้น ส่งเสริม ยกระดับให้บุคลากรสามารถให้คำปรึกษาอย่างมีประสิทธิภาพและเชื่อมโยงแนวทางการปฏิบัติงานให้สอดคล้องกับเป้าประสงค์ของหน่วยงานและมหาวิทยาลัย
4 : เป็นแบบอย่างในการให้คำปรึกษาที่ดีและมีความคิดริเริ่มกระบวนการให้คำปรึกษาให้มีประสิทธิภาพมากยิ่งขึ้น
3 : ติดตามและประเมินผลการให้คำปรึกษา เพื่อนำมาปรับปรุงแนวทางการให้คำปรึกษาและผู้รับบริการสามารถนำไปปฏิบัติได้ผลดี
2 : รับฟัง เข้าใจ เข้าถึงข้อมูลสภาพปัญหา วิเคราะห์ปัญหาของผู้รับบริการ และให้คำปรึกษาได้อย่างเหมาะสม
1 : มีความรู้เกี่ยวกับการให้คำปรึกษา
0 : ไม่แสดงสมรรถนะด้านนี้อย่างชัดเจน</t>
        </r>
      </text>
    </comment>
    <comment ref="D95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4
ผศ. = 4
อ. = 3
ผู้เชี่ยวชาญ = 3</t>
        </r>
      </text>
    </comment>
    <comment ref="A96" authorId="2" shapeId="0" xr:uid="{00000000-0006-0000-0200-00000B000000}">
      <text>
        <r>
          <rPr>
            <b/>
            <u/>
            <sz val="9"/>
            <color indexed="81"/>
            <rFont val="Tahoma"/>
            <family val="2"/>
          </rPr>
          <t>ทักษะการสอน</t>
        </r>
        <r>
          <rPr>
            <sz val="9"/>
            <color indexed="81"/>
            <rFont val="Tahoma"/>
            <family val="2"/>
          </rPr>
          <t xml:space="preserve">
5 : ริเริ่มและพัฒนานวัตกรรมการเรียนการสอน สามารถเผยแพร่ทั้งภายในและ
ภายนอกมหาวิทยาลัย
4 : มีเทคนิคการเรียนการสอนและงานวิจัยในชั้นเรียนที่สามารถพัฒนาผู้เรียนได้อย่างมีประสิทธิภาพ สามารถถ่ายทอดและนำไปเป็นแบบอย่างแก่ผู้อื่นได้
3 : นำความรู้ ประสบการณ์ และผลการวิจัยที่เกี่ยวข้องมาใช้ในการเรียนการสอน มีเทคนิคการเรียนการสอนที่หลากหลายเหมาะสมกับผู้เรียน
2 : เลือกใช้เทคนิคการเรียนการสอนที่เหมาะสมกับผู้เรียนได้เป็นอย่างดี มีการนำผลการประเมินผู้สอนมาปรับปรุงการเรียนการสอน
1 : มีความรู้ในรายวิชา หลักสูตรที่สอน และเทคนิควิธีการสอน
0 : ไม่แสดงสมรรถนะด้านนี้อย่างชัดเจน</t>
        </r>
      </text>
    </comment>
    <comment ref="D96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4
ผศ. = 4
อ. = 3
ผู้เชี่ยวชาญ = 3</t>
        </r>
      </text>
    </comment>
    <comment ref="A97" authorId="2" shapeId="0" xr:uid="{00000000-0006-0000-0200-00000D000000}">
      <text>
        <r>
          <rPr>
            <b/>
            <u/>
            <sz val="9"/>
            <color indexed="81"/>
            <rFont val="Tahoma"/>
            <family val="2"/>
          </rPr>
          <t>ทักษะด้านการวิจัยและนวัตกรรม</t>
        </r>
        <r>
          <rPr>
            <sz val="9"/>
            <color indexed="81"/>
            <rFont val="Tahoma"/>
            <family val="2"/>
          </rPr>
          <t xml:space="preserve">
5 : คิดค้น พัฒนางานวิจัย จนเกิดเป็นนวัตกรรมใหม่ที่สามารถจดสิทธิบัตร/อนุสิทธิบัตร
หรือได้รับรางวัลงานวิจัยระดับประเทศ
4 : ผลการวิจัยได้รับการอ้างอิงในฐานข้อมูลระดับชาติหรือนานาชาติ หรือสามารถสร้างทีมวิจัยที่มีความเป็นเลิศเฉพาะทาง
3 : ผลงานวิจัยตีพิมพ์เผยแพร่ได้ในระดับชาติหรือระดับนานาชาติ
2 : ดำเนินการวิจัยได้ตามหลักวิชาการ และนำผลการวิจัยมาพัฒนาด้านการเรียนการ
สอน หรือบริการวิชาการสู่ชุมชน
1 : รู้และเข้าใจระเบียบวิธีวิจัย กำหนดประเด็นปัญหาหัวข้องานวิจัยได้
0 : ไม่แสดงสมรรถนะด้านนี้อย่างชัดเจน</t>
        </r>
      </text>
    </comment>
    <comment ref="D97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4
ผศ. = 4
อ. = 3
ผู้เชี่ยวชาญ = 3</t>
        </r>
      </text>
    </comment>
    <comment ref="A98" authorId="2" shapeId="0" xr:uid="{00000000-0006-0000-0200-00000F000000}">
      <text>
        <r>
          <rPr>
            <b/>
            <u/>
            <sz val="9"/>
            <color indexed="81"/>
            <rFont val="Tahoma"/>
            <family val="2"/>
          </rPr>
          <t>ความรู้ความเชี่ยวชาญด้านวิชาการ</t>
        </r>
        <r>
          <rPr>
            <sz val="9"/>
            <color indexed="81"/>
            <rFont val="Tahoma"/>
            <family val="2"/>
          </rPr>
          <t xml:space="preserve">
5 : ความรู้ความเชี่ยวชาญที่มี ถ่ายทอดในระดับประเทศหรือนานาชาติ
4 : ใช้ความรู้ความเชี่ยวชาญที่มี เป็นแบบอย่างที่ดี ถ่ายทอดให้แก่ผู้อื่น ในระดับ
มหาวิทยาลัย
3 : นำองค์ความรู้ที่ทันสมัยมาพัฒนาปรับปรุงตนเองเพื่อเพิ่มศักยภาพในการปฏิบัติงาน
2 : มีความรู้ทางวิชาการในการปฏิบัติงานให้บรรลุเป้าหมายอย่างมีประสิทธิภาพ
1 : มีความรู้และมีความพยายามที่จะปฏิบัติงาน
0 : ไม่แสดงสมรรถนะด้านนี้อย่างชัดเจน</t>
        </r>
      </text>
    </comment>
    <comment ref="D98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5
ผศ. = 4
อ. = 3
ผู้เชี่ยวชาญ = 3</t>
        </r>
      </text>
    </comment>
    <comment ref="A99" authorId="2" shapeId="0" xr:uid="{00000000-0006-0000-0200-000011000000}">
      <text>
        <r>
          <rPr>
            <b/>
            <u/>
            <sz val="9"/>
            <color indexed="81"/>
            <rFont val="Tahoma"/>
            <family val="2"/>
          </rPr>
          <t>ความกระตือรือร้นและการเป็นแบบอย่างที่ดี</t>
        </r>
        <r>
          <rPr>
            <sz val="9"/>
            <color indexed="81"/>
            <rFont val="Tahoma"/>
            <family val="2"/>
          </rPr>
          <t xml:space="preserve">
5 : เป็นผู้นำ ผู้ประสานงานในการเปลี่ยนพฤติกรรมอาจารย์ส่วนใหญ่ในมหาวิทยาลัย
4 : กระตือรือร้นและการเป็นแบบอย่างที่ดี มุ่งมั่นในการแก้ปัญหา เรียนรู้ และเสนอแนวทางที่เหมาะสมกับหน่วยงาน เป็นแบบอย่างและให้คำแนะนำกับบุคคลอื่นได้
3 : มีส่วนร่วมในการวางแผนงานและปฏิบัติงานของส่วนรวม มีการสอนที่สอดแทรกคุณธรรมจริยธรรม เสียสละเวลาเพื่อนักศึกษา
2 : มีจรรยาบรรณวิชาชีพคณาอาจารย์ ให้ข้อเสนอแนะและเข้าร่วมในงานและกิจกรรมของส่วนรวม ยิ้มแย้มแจ่มใส เป็นแบบอย่างที่ดีแก่นักศึกษาและผู้อื่น
1 : เปิดใจรับฟังความคิดเห็นของผู้อื่น มีมนุษยสัมพันธ์ สนใจงานและกิจกรรมของส่วนรวม
0 : ไม่แสดงพฤติกรรมด้านนี้อย่างชัดเจน</t>
        </r>
      </text>
    </comment>
    <comment ref="D99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5
ผศ. = 4
อ. = 4
ผู้เชี่ยวชาญ = 4</t>
        </r>
      </text>
    </comment>
    <comment ref="A101" authorId="0" shapeId="0" xr:uid="{00000000-0006-0000-0200-000013000000}">
      <text>
        <r>
          <rPr>
            <b/>
            <u/>
            <sz val="9"/>
            <color indexed="81"/>
            <rFont val="Tahoma"/>
            <family val="2"/>
          </rPr>
          <t>การบริหารจัดการ</t>
        </r>
        <r>
          <rPr>
            <sz val="9"/>
            <color indexed="81"/>
            <rFont val="Tahoma"/>
            <family val="2"/>
          </rPr>
          <t xml:space="preserve">
5 : คิดหรือพัฒนาระบบการบริหารใหม่ที่สอดคล้องกับสถานการณ์ที่เปลี่ยนแปลง หรือเป็นผู้บริหารต้นแบบที่นำพามหาวิทยาลัยไปสู่เป้าหมายได้อย่างมีประสิทธิภาพ
4 : แนะนำและถ่ายทอดความรู้ด้านการบริหารจัดการจนผู้อื่นสามารถบริหารงานได้อย่างมืออาชีพ
3 : นำหลักบริหารจัดการมาพัฒนาหน่วยงานได้อย่างมีประสิทธิภาพและเป็นที่ประจักษ
2 : มีความรู้และสามารถปฏิบัติตามหลักบริหารจัดการได้เป็นอย่างด
1 : มีความรู้ด้านการบริหารจัดการ แต่ยังปฏิบัติไม่ได้
0 : ไม่มีความรู้ดังกล่าว</t>
        </r>
      </text>
    </comment>
    <comment ref="A102" authorId="0" shapeId="0" xr:uid="{00000000-0006-0000-0200-000014000000}">
      <text>
        <r>
          <rPr>
            <b/>
            <u/>
            <sz val="9"/>
            <color indexed="81"/>
            <rFont val="Tahoma"/>
            <family val="2"/>
          </rPr>
          <t>การวางแผน</t>
        </r>
        <r>
          <rPr>
            <sz val="9"/>
            <color indexed="81"/>
            <rFont val="Tahoma"/>
            <family val="2"/>
          </rPr>
          <t xml:space="preserve">
5 : นำวิสัยทัศน์ของมหาวิทยาลัยมาแปลงสู่แผนยุทธศาสตร์ที่สามารถนำไปปฏิบัติได้ผลดีและบรรลุวัตถุประสงค์
4 : สอนและถ่ายทอดทักษะในการจัดทำแผนไปสู่ผู้อื่นจนการดำเนินงานของหน่วยงานประสบผลสำเร็จ
3 : มีการจัดทำเอกสารคู่มือ เพื่อพัฒนาและปรับปรุงการปฏิบัติงานที่รับผิดชอบ
2 : มีความสามารถในการวางแผน วิเคราะห์ กำหนดขั้นตอนการทำงาน และปฏิบัติงานได้เป็นอย่างดี
1 : มีความรู้ความเข้าใจเกี่ยวกับการวางแผน แต่ยังปฏิบัติไม่ได้
0 : ไม่มีทักษะดังกล่าว</t>
        </r>
      </text>
    </comment>
    <comment ref="A103" authorId="0" shapeId="0" xr:uid="{00000000-0006-0000-0200-000015000000}">
      <text>
        <r>
          <rPr>
            <b/>
            <u/>
            <sz val="9"/>
            <color indexed="81"/>
            <rFont val="Tahoma"/>
            <family val="2"/>
          </rPr>
          <t>การมีวิสัยทัศน์</t>
        </r>
        <r>
          <rPr>
            <sz val="9"/>
            <color indexed="81"/>
            <rFont val="Tahoma"/>
            <family val="2"/>
          </rPr>
          <t xml:space="preserve">
5 : นำพาให้บุคลากรยอมรับและปฏิบัติงานตามวิสัยทัศน์ของมหาวิทยาลัย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4 : สร้างแรงบันดาลใจให้บุคลากรในหน่วยงานนำวิสัยทัศน์เป็นแนวทางในการปฏิบัติงาน
3 : นำวิสัยทัศน์สู่การปฏิบัติ และนำไปปรับใช้กับหน่วยงานได้อย่างมีประสิทธิภาพเป็นที่
ประจักษ์
2 : นำวิสัยทัศน์มากำหนดเป็นนโยบายและนำไปสู่การปฏิบัต
1 : มีวิสัยทัศน์และยังไม่มีการดำเนินการอย่างเป็นรูปธรรม
0 : ไม่แสดงพฤติกรรมดังกล่าว</t>
        </r>
      </text>
    </comment>
    <comment ref="A104" authorId="0" shapeId="0" xr:uid="{00000000-0006-0000-0200-000016000000}">
      <text>
        <r>
          <rPr>
            <b/>
            <u/>
            <sz val="9"/>
            <color indexed="81"/>
            <rFont val="Tahoma"/>
            <family val="2"/>
          </rPr>
          <t>การแก้ไขปัญหา</t>
        </r>
        <r>
          <rPr>
            <sz val="9"/>
            <color indexed="81"/>
            <rFont val="Tahoma"/>
            <family val="2"/>
          </rPr>
          <t xml:space="preserve">
5 : สามารถเปลี่ยนพฤติกรรมคนส่วนใหญ่ในองค์กรให้สามารถรับมือกับปัญหาและความเปลี่ยนแปลงจากภายนอกได้
4 : สามารถแก้ไขปัญหาและแปลงความเปลี่ยนแปลงที่มาจากภายนอกไปสู่การปฏิบัติและสร้างโอกาสให้กับหน่วยงาน
3 : มีการคาดการณ์และลงมือกระทำการเพื่อหลีกเลี่ยง ป้องกันปัญหาที่อาจจะเกิดขึ้น
2 : มีการแก้ปัญหาได้เป็นอย่างด
1 : มีการแก้ปัญหาเป็นครั้งคราว
0 : ไม่มีพฤติกรรมดังกล่าว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LA-OR-RI</author>
  </authors>
  <commentList>
    <comment ref="K2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เทียบบัญญัติไตรยางค์จากน้ำหนักรวมร้อยละ 25 เป็นร้อยละน้ำหนักตามตำแหน่ง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LA-OR-RI</author>
    <author>Original</author>
  </authors>
  <commentList>
    <comment ref="C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ผลการประเมินของทุกกลุ่ม/รายวิชาไม่น้อยกว่า 3.51 คะแนน 
</t>
        </r>
        <r>
          <rPr>
            <sz val="9"/>
            <color indexed="81"/>
            <rFont val="Tahoma"/>
            <family val="2"/>
          </rPr>
          <t>(เช่น อาจารย์ 1 คน สอนหลายกลุ่มใน 1 รายวิชา ต้องมีค่าเฉลี่ยผลการประเมินความพึงพอใจของทุกกลุ่มไม่น้อยกว่า 3.51 คะแนน  หรือ 1 รายวิชา มีผู้สอนหลายคน แต่ละคนต้องมีผลการประเมินความพึงพอใจไม่น้อยกว่า 3.51 คะแนน)</t>
        </r>
      </text>
    </comment>
    <comment ref="D2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F22" authorId="0" shapeId="0" xr:uid="{00000000-0006-0000-0400-00000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F26" authorId="0" shapeId="0" xr:uid="{00000000-0006-0000-0400-00000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7" authorId="0" shapeId="0" xr:uid="{00000000-0006-0000-0400-000006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7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8" authorId="0" shapeId="0" xr:uid="{00000000-0006-0000-0400-000008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8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9" authorId="0" shapeId="0" xr:uid="{00000000-0006-0000-0400-00000A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9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0" authorId="0" shapeId="0" xr:uid="{00000000-0006-0000-0400-00000C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0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1" authorId="0" shapeId="0" xr:uid="{00000000-0006-0000-0400-00000E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1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2" authorId="0" shapeId="0" xr:uid="{00000000-0006-0000-0400-000010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2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3" authorId="0" shapeId="0" xr:uid="{00000000-0006-0000-0400-000012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3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4" authorId="0" shapeId="0" xr:uid="{00000000-0006-0000-0400-00001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4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5" authorId="0" shapeId="0" xr:uid="{00000000-0006-0000-0400-000016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5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6" authorId="0" shapeId="0" xr:uid="{00000000-0006-0000-0400-000018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6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7" authorId="0" shapeId="0" xr:uid="{00000000-0006-0000-0400-00001A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7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8" authorId="0" shapeId="0" xr:uid="{00000000-0006-0000-0400-00001C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8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9" authorId="0" shapeId="0" xr:uid="{00000000-0006-0000-0400-00001E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9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0" authorId="0" shapeId="0" xr:uid="{00000000-0006-0000-0400-000020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0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1" authorId="0" shapeId="0" xr:uid="{00000000-0006-0000-0400-000022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1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2" authorId="0" shapeId="0" xr:uid="{00000000-0006-0000-0400-00002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2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3" authorId="0" shapeId="0" xr:uid="{00000000-0006-0000-0400-000026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3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4" authorId="0" shapeId="0" xr:uid="{00000000-0006-0000-0400-000028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4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5" authorId="0" shapeId="0" xr:uid="{00000000-0006-0000-0400-00002A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5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6" authorId="0" shapeId="0" xr:uid="{00000000-0006-0000-0400-00002C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6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7" authorId="0" shapeId="0" xr:uid="{00000000-0006-0000-0400-00002E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7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8" authorId="0" shapeId="0" xr:uid="{00000000-0006-0000-0400-000030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8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9" authorId="0" shapeId="0" xr:uid="{00000000-0006-0000-0400-000032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9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0" authorId="0" shapeId="0" xr:uid="{00000000-0006-0000-0400-00003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0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1" authorId="0" shapeId="0" xr:uid="{00000000-0006-0000-0400-000036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1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2" authorId="0" shapeId="0" xr:uid="{00000000-0006-0000-0400-000038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2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3" authorId="0" shapeId="0" xr:uid="{00000000-0006-0000-0400-00003A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3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4" authorId="0" shapeId="0" xr:uid="{00000000-0006-0000-0400-00003C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4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5" authorId="0" shapeId="0" xr:uid="{00000000-0006-0000-0400-00003E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5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6" authorId="0" shapeId="0" xr:uid="{00000000-0006-0000-0400-000040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6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7" authorId="0" shapeId="0" xr:uid="{00000000-0006-0000-0400-000042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7" authorId="0" shapeId="0" xr:uid="{00000000-0006-0000-0400-00004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8" authorId="0" shapeId="0" xr:uid="{00000000-0006-0000-0400-00004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8" authorId="0" shapeId="0" xr:uid="{00000000-0006-0000-0400-00004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9" authorId="0" shapeId="0" xr:uid="{00000000-0006-0000-0400-000046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9" authorId="0" shapeId="0" xr:uid="{00000000-0006-0000-0400-00004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0" authorId="0" shapeId="0" xr:uid="{00000000-0006-0000-0400-000048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0" authorId="0" shapeId="0" xr:uid="{00000000-0006-0000-0400-00004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1" authorId="0" shapeId="0" xr:uid="{00000000-0006-0000-0400-00004A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1" authorId="0" shapeId="0" xr:uid="{00000000-0006-0000-0400-00004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2" authorId="0" shapeId="0" xr:uid="{00000000-0006-0000-0400-00004C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2" authorId="0" shapeId="0" xr:uid="{00000000-0006-0000-0400-00004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3" authorId="0" shapeId="0" xr:uid="{00000000-0006-0000-0400-00004E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3" authorId="0" shapeId="0" xr:uid="{00000000-0006-0000-0400-00004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4" authorId="0" shapeId="0" xr:uid="{00000000-0006-0000-0400-000050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4" authorId="0" shapeId="0" xr:uid="{00000000-0006-0000-0400-00005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5" authorId="0" shapeId="0" xr:uid="{00000000-0006-0000-0400-000052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5" authorId="0" shapeId="0" xr:uid="{00000000-0006-0000-0400-00005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D68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G72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3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4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5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6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7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8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9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0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1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2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3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4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5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6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7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8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9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0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1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2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3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4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5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6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7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8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9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0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1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D104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F104" authorId="0" shapeId="0" xr:uid="{00000000-0006-0000-0400-00007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F108" authorId="0" shapeId="0" xr:uid="{00000000-0006-0000-0400-00007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08" authorId="0" shapeId="0" xr:uid="{00000000-0006-0000-0400-00007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09" authorId="0" shapeId="0" xr:uid="{00000000-0006-0000-0400-00007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09" authorId="0" shapeId="0" xr:uid="{00000000-0006-0000-0400-00007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0" authorId="0" shapeId="0" xr:uid="{00000000-0006-0000-0400-00007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0" authorId="0" shapeId="0" xr:uid="{00000000-0006-0000-0400-00007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1" authorId="0" shapeId="0" xr:uid="{00000000-0006-0000-0400-00007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1" authorId="0" shapeId="0" xr:uid="{00000000-0006-0000-0400-00007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2" authorId="0" shapeId="0" xr:uid="{00000000-0006-0000-0400-00007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2" authorId="0" shapeId="0" xr:uid="{00000000-0006-0000-0400-00007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3" authorId="0" shapeId="0" xr:uid="{00000000-0006-0000-0400-00007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3" authorId="0" shapeId="0" xr:uid="{00000000-0006-0000-0400-00008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4" authorId="0" shapeId="0" xr:uid="{00000000-0006-0000-0400-00008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4" authorId="0" shapeId="0" xr:uid="{00000000-0006-0000-0400-00008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5" authorId="0" shapeId="0" xr:uid="{00000000-0006-0000-0400-00008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5" authorId="0" shapeId="0" xr:uid="{00000000-0006-0000-0400-00008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6" authorId="0" shapeId="0" xr:uid="{00000000-0006-0000-0400-00008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6" authorId="0" shapeId="0" xr:uid="{00000000-0006-0000-0400-00008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7" authorId="0" shapeId="0" xr:uid="{00000000-0006-0000-0400-00008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7" authorId="0" shapeId="0" xr:uid="{00000000-0006-0000-0400-00008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8" authorId="0" shapeId="0" xr:uid="{00000000-0006-0000-0400-00008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8" authorId="0" shapeId="0" xr:uid="{00000000-0006-0000-0400-00008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9" authorId="0" shapeId="0" xr:uid="{00000000-0006-0000-0400-00008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9" authorId="0" shapeId="0" xr:uid="{00000000-0006-0000-0400-00008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0" authorId="0" shapeId="0" xr:uid="{00000000-0006-0000-0400-00008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0" authorId="0" shapeId="0" xr:uid="{00000000-0006-0000-0400-00008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1" authorId="0" shapeId="0" xr:uid="{00000000-0006-0000-0400-00008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1" authorId="0" shapeId="0" xr:uid="{00000000-0006-0000-0400-00009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2" authorId="0" shapeId="0" xr:uid="{00000000-0006-0000-0400-00009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2" authorId="0" shapeId="0" xr:uid="{00000000-0006-0000-0400-00009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3" authorId="0" shapeId="0" xr:uid="{00000000-0006-0000-0400-00009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3" authorId="0" shapeId="0" xr:uid="{00000000-0006-0000-0400-00009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4" authorId="0" shapeId="0" xr:uid="{00000000-0006-0000-0400-00009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4" authorId="0" shapeId="0" xr:uid="{00000000-0006-0000-0400-00009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5" authorId="0" shapeId="0" xr:uid="{00000000-0006-0000-0400-00009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5" authorId="0" shapeId="0" xr:uid="{00000000-0006-0000-0400-00009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6" authorId="0" shapeId="0" xr:uid="{00000000-0006-0000-0400-00009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6" authorId="0" shapeId="0" xr:uid="{00000000-0006-0000-0400-00009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7" authorId="0" shapeId="0" xr:uid="{00000000-0006-0000-0400-00009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7" authorId="0" shapeId="0" xr:uid="{00000000-0006-0000-0400-00009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8" authorId="0" shapeId="0" xr:uid="{00000000-0006-0000-0400-00009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8" authorId="0" shapeId="0" xr:uid="{00000000-0006-0000-0400-00009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9" authorId="0" shapeId="0" xr:uid="{00000000-0006-0000-0400-00009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9" authorId="0" shapeId="0" xr:uid="{00000000-0006-0000-0400-0000A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0" authorId="0" shapeId="0" xr:uid="{00000000-0006-0000-0400-0000A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0" authorId="0" shapeId="0" xr:uid="{00000000-0006-0000-0400-0000A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1" authorId="0" shapeId="0" xr:uid="{00000000-0006-0000-0400-0000A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1" authorId="0" shapeId="0" xr:uid="{00000000-0006-0000-0400-0000A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2" authorId="0" shapeId="0" xr:uid="{00000000-0006-0000-0400-0000A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2" authorId="0" shapeId="0" xr:uid="{00000000-0006-0000-0400-0000A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3" authorId="0" shapeId="0" xr:uid="{00000000-0006-0000-0400-0000A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3" authorId="0" shapeId="0" xr:uid="{00000000-0006-0000-0400-0000A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4" authorId="0" shapeId="0" xr:uid="{00000000-0006-0000-0400-0000A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4" authorId="0" shapeId="0" xr:uid="{00000000-0006-0000-0400-0000A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5" authorId="0" shapeId="0" xr:uid="{00000000-0006-0000-0400-0000A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5" authorId="0" shapeId="0" xr:uid="{00000000-0006-0000-0400-0000A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6" authorId="0" shapeId="0" xr:uid="{00000000-0006-0000-0400-0000A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6" authorId="0" shapeId="0" xr:uid="{00000000-0006-0000-0400-0000A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7" authorId="0" shapeId="0" xr:uid="{00000000-0006-0000-0400-0000A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7" authorId="0" shapeId="0" xr:uid="{00000000-0006-0000-0400-0000B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8" authorId="0" shapeId="0" xr:uid="{00000000-0006-0000-0400-0000B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8" authorId="0" shapeId="0" xr:uid="{00000000-0006-0000-0400-0000B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9" authorId="0" shapeId="0" xr:uid="{00000000-0006-0000-0400-0000B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9" authorId="0" shapeId="0" xr:uid="{00000000-0006-0000-0400-0000B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0" authorId="0" shapeId="0" xr:uid="{00000000-0006-0000-0400-0000B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0" authorId="0" shapeId="0" xr:uid="{00000000-0006-0000-0400-0000B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1" authorId="0" shapeId="0" xr:uid="{00000000-0006-0000-0400-0000B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1" authorId="0" shapeId="0" xr:uid="{00000000-0006-0000-0400-0000B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2" authorId="0" shapeId="0" xr:uid="{00000000-0006-0000-0400-0000B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2" authorId="0" shapeId="0" xr:uid="{00000000-0006-0000-0400-0000B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3" authorId="0" shapeId="0" xr:uid="{00000000-0006-0000-0400-0000B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3" authorId="0" shapeId="0" xr:uid="{00000000-0006-0000-0400-0000B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4" authorId="0" shapeId="0" xr:uid="{00000000-0006-0000-0400-0000B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4" authorId="0" shapeId="0" xr:uid="{00000000-0006-0000-0400-0000B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5" authorId="0" shapeId="0" xr:uid="{00000000-0006-0000-0400-0000B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5" authorId="0" shapeId="0" xr:uid="{00000000-0006-0000-0400-0000C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6" authorId="0" shapeId="0" xr:uid="{00000000-0006-0000-0400-0000C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6" authorId="0" shapeId="0" xr:uid="{00000000-0006-0000-0400-0000C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7" authorId="0" shapeId="0" xr:uid="{00000000-0006-0000-0400-0000C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7" authorId="0" shapeId="0" xr:uid="{00000000-0006-0000-0400-0000C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D150" authorId="0" shapeId="0" xr:uid="{00000000-0006-0000-0400-0000C5000000}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G154" authorId="0" shapeId="0" xr:uid="{00000000-0006-0000-0400-0000C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5" authorId="0" shapeId="0" xr:uid="{00000000-0006-0000-0400-0000C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6" authorId="0" shapeId="0" xr:uid="{00000000-0006-0000-0400-0000C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7" authorId="0" shapeId="0" xr:uid="{00000000-0006-0000-0400-0000C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8" authorId="0" shapeId="0" xr:uid="{00000000-0006-0000-0400-0000C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9" authorId="0" shapeId="0" xr:uid="{00000000-0006-0000-0400-0000C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0" authorId="0" shapeId="0" xr:uid="{00000000-0006-0000-0400-0000C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1" authorId="0" shapeId="0" xr:uid="{00000000-0006-0000-0400-0000C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2" authorId="0" shapeId="0" xr:uid="{00000000-0006-0000-0400-0000C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3" authorId="0" shapeId="0" xr:uid="{00000000-0006-0000-0400-0000C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4" authorId="0" shapeId="0" xr:uid="{00000000-0006-0000-0400-0000D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5" authorId="0" shapeId="0" xr:uid="{00000000-0006-0000-0400-0000D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6" authorId="0" shapeId="0" xr:uid="{00000000-0006-0000-0400-0000D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7" authorId="0" shapeId="0" xr:uid="{00000000-0006-0000-0400-0000D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8" authorId="0" shapeId="0" xr:uid="{00000000-0006-0000-0400-0000D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9" authorId="0" shapeId="0" xr:uid="{00000000-0006-0000-0400-0000D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0" authorId="0" shapeId="0" xr:uid="{00000000-0006-0000-0400-0000D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1" authorId="0" shapeId="0" xr:uid="{00000000-0006-0000-0400-0000D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2" authorId="0" shapeId="0" xr:uid="{00000000-0006-0000-0400-0000D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3" authorId="0" shapeId="0" xr:uid="{00000000-0006-0000-0400-0000D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4" authorId="0" shapeId="0" xr:uid="{00000000-0006-0000-0400-0000D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5" authorId="0" shapeId="0" xr:uid="{00000000-0006-0000-0400-0000D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6" authorId="0" shapeId="0" xr:uid="{00000000-0006-0000-0400-0000D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7" authorId="0" shapeId="0" xr:uid="{00000000-0006-0000-0400-0000D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8" authorId="0" shapeId="0" xr:uid="{00000000-0006-0000-0400-0000D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9" authorId="0" shapeId="0" xr:uid="{00000000-0006-0000-0400-0000D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0" authorId="0" shapeId="0" xr:uid="{00000000-0006-0000-0400-0000E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1" authorId="0" shapeId="0" xr:uid="{00000000-0006-0000-0400-0000E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2" authorId="0" shapeId="0" xr:uid="{00000000-0006-0000-0400-0000E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3" authorId="0" shapeId="0" xr:uid="{00000000-0006-0000-0400-0000E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F188" authorId="0" shapeId="0" xr:uid="{00000000-0006-0000-0400-0000E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I188" authorId="0" shapeId="0" xr:uid="{00000000-0006-0000-0400-0000E5000000}">
      <text>
        <r>
          <rPr>
            <sz val="9"/>
            <color indexed="81"/>
            <rFont val="Tahoma"/>
            <family val="2"/>
          </rPr>
          <t>จำนวน นศ. &gt;= 10 คน คิดค่าถ่วงน้ำหนักเท่ากับ 4.5
จำนวน นศ. &lt;10 คน คิดค่าถ่วงน้ำหนักเท่ากับ 3</t>
        </r>
      </text>
    </comment>
    <comment ref="F192" authorId="0" shapeId="0" xr:uid="{00000000-0006-0000-0400-0000E6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2" authorId="0" shapeId="0" xr:uid="{00000000-0006-0000-0400-0000E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3" authorId="0" shapeId="0" xr:uid="{00000000-0006-0000-0400-0000E8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3" authorId="0" shapeId="0" xr:uid="{00000000-0006-0000-0400-0000E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4" authorId="0" shapeId="0" xr:uid="{00000000-0006-0000-0400-0000EA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4" authorId="0" shapeId="0" xr:uid="{00000000-0006-0000-0400-0000E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5" authorId="0" shapeId="0" xr:uid="{00000000-0006-0000-0400-0000EC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5" authorId="0" shapeId="0" xr:uid="{00000000-0006-0000-0400-0000E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6" authorId="0" shapeId="0" xr:uid="{00000000-0006-0000-0400-0000EE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6" authorId="0" shapeId="0" xr:uid="{00000000-0006-0000-0400-0000E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7" authorId="0" shapeId="0" xr:uid="{00000000-0006-0000-0400-0000F0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7" authorId="0" shapeId="0" xr:uid="{00000000-0006-0000-0400-0000F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8" authorId="0" shapeId="0" xr:uid="{00000000-0006-0000-0400-0000F2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8" authorId="0" shapeId="0" xr:uid="{00000000-0006-0000-0400-0000F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9" authorId="0" shapeId="0" xr:uid="{00000000-0006-0000-0400-0000F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9" authorId="0" shapeId="0" xr:uid="{00000000-0006-0000-0400-0000F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0" authorId="0" shapeId="0" xr:uid="{00000000-0006-0000-0400-0000F6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0" authorId="0" shapeId="0" xr:uid="{00000000-0006-0000-0400-0000F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1" authorId="0" shapeId="0" xr:uid="{00000000-0006-0000-0400-0000F8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1" authorId="0" shapeId="0" xr:uid="{00000000-0006-0000-0400-0000F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G208" authorId="0" shapeId="0" xr:uid="{00000000-0006-0000-0400-0000F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09" authorId="0" shapeId="0" xr:uid="{00000000-0006-0000-0400-0000F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0" authorId="0" shapeId="0" xr:uid="{00000000-0006-0000-0400-0000F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1" authorId="0" shapeId="0" xr:uid="{00000000-0006-0000-0400-0000F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2" authorId="0" shapeId="0" xr:uid="{00000000-0006-0000-0400-0000F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3" authorId="0" shapeId="0" xr:uid="{00000000-0006-0000-0400-0000F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4" authorId="0" shapeId="0" xr:uid="{00000000-0006-0000-0400-00000001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5" authorId="0" shapeId="0" xr:uid="{00000000-0006-0000-0400-00000101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6" authorId="0" shapeId="0" xr:uid="{00000000-0006-0000-0400-00000201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7" authorId="0" shapeId="0" xr:uid="{00000000-0006-0000-0400-00000301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89" authorId="1" shapeId="0" xr:uid="{00000000-0006-0000-0400-000004010000}">
      <text>
        <r>
          <rPr>
            <sz val="9"/>
            <color indexed="81"/>
            <rFont val="Tahoma"/>
            <family val="2"/>
          </rPr>
          <t xml:space="preserve">กรณีจำนวนนักศึกษา &lt; 20 คน คิดภาระงาน = 0.5 ชม.ทำการ/สัปดาห์
กรณีจำนวนักศึกษา </t>
        </r>
        <r>
          <rPr>
            <u/>
            <sz val="9"/>
            <color indexed="81"/>
            <rFont val="Tahoma"/>
            <family val="2"/>
          </rPr>
          <t>&gt;</t>
        </r>
        <r>
          <rPr>
            <sz val="9"/>
            <color indexed="81"/>
            <rFont val="Tahoma"/>
            <family val="2"/>
          </rPr>
          <t xml:space="preserve"> 20 คน คิดภาระงาน = 1 ชม.ทำการ/สัปดาห์</t>
        </r>
      </text>
    </comment>
    <comment ref="G297" authorId="1" shapeId="0" xr:uid="{00000000-0006-0000-0400-000005010000}">
      <text>
        <r>
          <rPr>
            <sz val="9"/>
            <color indexed="81"/>
            <rFont val="Tahoma"/>
            <family val="2"/>
          </rPr>
          <t xml:space="preserve">กรณีจำนวนนักศึกษา &lt; 20 คน คิดภาระงาน = 0.5 ชม.ทำการ/สัปดาห์
กรณีจำนวนนักศึกษา </t>
        </r>
        <r>
          <rPr>
            <u/>
            <sz val="9"/>
            <color indexed="81"/>
            <rFont val="Tahoma"/>
            <family val="2"/>
          </rPr>
          <t>&gt;</t>
        </r>
        <r>
          <rPr>
            <sz val="9"/>
            <color indexed="81"/>
            <rFont val="Tahoma"/>
            <family val="2"/>
          </rPr>
          <t xml:space="preserve"> 20 คน คิดภาระงาน = 1 ชม.ทำการ/สัปดาห์</t>
        </r>
      </text>
    </comment>
    <comment ref="G335" authorId="0" shapeId="0" xr:uid="{00000000-0006-0000-0400-000006010000}">
      <text>
        <r>
          <rPr>
            <sz val="9"/>
            <color indexed="81"/>
            <rFont val="Tahoma"/>
            <family val="2"/>
          </rPr>
          <t>กรอกวันที่ในรูปแบบ
ว/ด/ปปปป(พ.ศ) เช่น
25/8/2560</t>
        </r>
      </text>
    </comment>
    <comment ref="J359" authorId="1" shapeId="0" xr:uid="{00000000-0006-0000-0400-000007010000}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</text>
    </comment>
    <comment ref="J360" authorId="1" shapeId="0" xr:uid="{00000000-0006-0000-0400-000008010000}">
      <text>
        <r>
          <rPr>
            <b/>
            <sz val="9"/>
            <color indexed="81"/>
            <rFont val="Tahoma"/>
            <family val="2"/>
          </rPr>
          <t>คิดภาระงานไม่เกินจำนวน 45</t>
        </r>
      </text>
    </comment>
    <comment ref="J361" authorId="1" shapeId="0" xr:uid="{00000000-0006-0000-0400-000009010000}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2" authorId="1" shapeId="0" xr:uid="{00000000-0006-0000-0400-00000A010000}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3" authorId="1" shapeId="0" xr:uid="{00000000-0006-0000-0400-00000B010000}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LA-OR-RI</author>
    <author>Windows User</author>
  </authors>
  <commentList>
    <comment ref="K20" authorId="0" shapeId="0" xr:uid="{00000000-0006-0000-0500-000001000000}">
      <text>
        <r>
          <rPr>
            <sz val="9"/>
            <color indexed="81"/>
            <rFont val="Tahoma"/>
            <family val="2"/>
          </rPr>
          <t>กรอกวันที่ในรูปแบบ
ว/ด/ปปปป(พ.ศ) เช่น
25/8/2561</t>
        </r>
      </text>
    </comment>
    <comment ref="K64" authorId="0" shapeId="0" xr:uid="{00000000-0006-0000-0500-000002000000}">
      <text>
        <r>
          <rPr>
            <sz val="9"/>
            <color indexed="81"/>
            <rFont val="Tahoma"/>
            <family val="2"/>
          </rPr>
          <t>กรอกวันที่ในรูปแบบ
ว/ด/ปปปป(พ.ศ) เช่น
25/8/2561</t>
        </r>
      </text>
    </comment>
    <comment ref="O124" authorId="1" shapeId="0" xr:uid="{00000000-0006-0000-0500-000003000000}">
      <text>
        <r>
          <rPr>
            <sz val="9"/>
            <color indexed="81"/>
            <rFont val="Tahoma"/>
            <family val="2"/>
          </rPr>
          <t>กรณีนำเสนอหนึ่งวัน
ไม่ต้องระบุวันที่สิ้นสุด</t>
        </r>
      </text>
    </comment>
    <comment ref="B270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
คลิกเพื่ออ่านคำอธิบายเพิ่มเติม</t>
        </r>
      </text>
    </comment>
    <comment ref="B287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 xml:space="preserve">
คลิกเพื่ออ่านคำอธิบายเพิ่มเติม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LA-OR-RI</author>
  </authors>
  <commentList>
    <comment ref="G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26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47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85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F212" authorId="1" shapeId="0" xr:uid="{00000000-0006-0000-0600-000005000000}">
      <text>
        <r>
          <rPr>
            <b/>
            <sz val="9"/>
            <color indexed="81"/>
            <rFont val="Tahoma"/>
            <family val="2"/>
          </rPr>
          <t>คิดภาระงานเท่ากับจำนวนชั่วโมงทีจัดรายการ แต่ไม่เกิน 3 ชม.ทำการ</t>
        </r>
      </text>
    </comment>
    <comment ref="G27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288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30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322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382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444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</commentList>
</comments>
</file>

<file path=xl/sharedStrings.xml><?xml version="1.0" encoding="utf-8"?>
<sst xmlns="http://schemas.openxmlformats.org/spreadsheetml/2006/main" count="3294" uniqueCount="1211">
  <si>
    <t>มาตรฐานภาระงานทางวิชาการของผู้ดำรงตำแหน่งอาจารย์ ผู้ช่วยศาสตราจารย์ รองศาสตราจารย์ และศาสตราจารย์</t>
  </si>
  <si>
    <t>คำชี้แจง</t>
  </si>
  <si>
    <t>1.  การกำหนดภาระงานของอาจารย์ประจำ</t>
  </si>
  <si>
    <t xml:space="preserve">      (1) ภาระงานสอน  </t>
  </si>
  <si>
    <t>ไม่น้อยกว่า   15  ชั่วโมงทำการต่อสัปดาห์</t>
  </si>
  <si>
    <t xml:space="preserve">      (2) ภาระงานวิจัยและงานวิชาการอื่น     </t>
  </si>
  <si>
    <t>ไม่น้อยกว่า    6  ชั่วโมงทำการต่อสัปดาห์</t>
  </si>
  <si>
    <t xml:space="preserve">      (3) ภาระงานบริการทางวิชาการ</t>
  </si>
  <si>
    <t>ไม่น้อยกว่า    3  ชั่วโมงทำการต่อสัปดาห์</t>
  </si>
  <si>
    <t xml:space="preserve">      (4) ภาระงานทำนุบำรุงศิลปวัฒนธรรม</t>
  </si>
  <si>
    <t>ไม่น้อยกว่า    1  ชั่วโมงทำการต่อสัปดาห์</t>
  </si>
  <si>
    <t xml:space="preserve">      ตามข้อ 1.1 (1) – (3) ให้เป็นไปตามที่คณะกรรมการบริหารงานบุคคลมหาวิทยาลัยแม่โจ้กำหนด</t>
  </si>
  <si>
    <t>ภาระงาน</t>
  </si>
  <si>
    <t>น้ำหนักภาระงาน (ร้อยละ)</t>
  </si>
  <si>
    <t>ผู้ช่วยอธิการบดี</t>
  </si>
  <si>
    <t>รอง ผอ.วิสาหกิจ</t>
  </si>
  <si>
    <t>ผู้ช่วยคณบดี</t>
  </si>
  <si>
    <t>ประธานหลักสูตร</t>
  </si>
  <si>
    <t>เลขานุการหลักสูตร</t>
  </si>
  <si>
    <t>กรรมการหลักสูตร</t>
  </si>
  <si>
    <t>-</t>
  </si>
  <si>
    <t>ภาระงานบริหาร</t>
  </si>
  <si>
    <t>(5)</t>
  </si>
  <si>
    <t>ภาระงานตามพันธกิจ</t>
  </si>
  <si>
    <t>มาตรฐาน</t>
  </si>
  <si>
    <t xml:space="preserve">      ตามข้อบังคับมหาวิทยาลัยแม่โจ้ ว่าด้วยมาตรฐานภาระงานทางวิชาการของผู้ดำรงตำแหน่งอาจารย์ ผู้ช่วยศาสตราจารย์ รองศาสตราจารย์ และศาสตราจารย์ พ.ศ. 2559 ได้กำหนดภาระงานของอาจารย์ประจำ คือ ต้องมีภาระงานไม่น้อยกว่า 35 ชั่วโมงทำการ/สัปดาห์ ในภาคการศึกษาปกติ และตามประกาศสภามหาวิทยาลัยแม่โจ้ เรื่อง การกำหนดกรอบภาระงานทางวิชาการของผู้ดำรงตำแหน่งอาจารย์ ผู้ช่วยศาสตราจารย์ รองศาสตราจารย์ และศาสตราจารย์ พ.ศ. 2560 ได้กำหนดรายละเอียดภาระงาน ดังต่อไปนี้</t>
  </si>
  <si>
    <t xml:space="preserve">      จำนวนชั่วโมงที่เหลืออีก 10 ชั่วโมงทำการ สามารถนำไปเพิ่มเติมในภาระงานตามพันธกิจ ข้อ 1.1 (1) – (3) ตามข้อตกลงในระดับคณะหรือหน่วยงานที่เรียกชื่ออย่างอื่นที่มีฐานะเทียบเท่าคณะ</t>
  </si>
  <si>
    <t>แบบ ป.วช-01</t>
  </si>
  <si>
    <t>บุคลากรประเภทสายวิชาการ  สังกัดมหาวิทยาลัยแม่โจ้</t>
  </si>
  <si>
    <t>ส่วนที่ 1  ข้อมูลส่วนบุคคล</t>
  </si>
  <si>
    <t>คำอธิบายการกรอกข้อมูลส่วนที่ 1 ข้อมูลส่วนบุคคล</t>
  </si>
  <si>
    <t>ชื่อผู้ปฏิบัติงาน</t>
  </si>
  <si>
    <t>สังกัด</t>
  </si>
  <si>
    <t>คณะเทคโนโลยีการประมงและทรัพยากรทางน้ำ</t>
  </si>
  <si>
    <t>ตำแหน่ง</t>
  </si>
  <si>
    <t>อาจารย์</t>
  </si>
  <si>
    <t xml:space="preserve">ประเภทบุคลากร  </t>
  </si>
  <si>
    <t>พนักงานมหาวิทยาลัย</t>
  </si>
  <si>
    <t>ตำแหน่งบริหาร</t>
  </si>
  <si>
    <t>ไม่มี</t>
  </si>
  <si>
    <t>1. คลิกที่ Cell</t>
  </si>
  <si>
    <t>2. คลิกปุ่มแสดงรายการข้อมูล</t>
  </si>
  <si>
    <t>รายละเอียดข้อตกลง</t>
  </si>
  <si>
    <t>ระหว่างวันที่</t>
  </si>
  <si>
    <t>ถึงวันที่</t>
  </si>
  <si>
    <t>ชื่อผู้บังคับบัญชา</t>
  </si>
  <si>
    <t>ตำแหน่ง/ระดับ</t>
  </si>
  <si>
    <t xml:space="preserve">1. แบบข้อตกลงฯ นี้เป็นการกำหนดแผนการปฏิบัติงานของผู้ปฏิบัติงานในมหาวิทยาลัยแม่โจ้ซึ่งเป็นข้อตกลงร่วมกับผู้บังคับบัญชาก่อนเริ่มปฏิบัติงาน </t>
  </si>
  <si>
    <t xml:space="preserve">5. การกำหนดตัวชี้วัดความสำเร็จของงาน ทั้งในส่วนของเชิงปริมาณและเชิงคุณภาพ  ให้เป็นการกำหนดข้อตกลงภายในหน่วยงานนั้นๆ </t>
  </si>
  <si>
    <t>6. การจัดทำข้อตกลงภาระงานดังกล่าวนี้ เพื่อใช้เป็นกรอบในการประเมินผลการปฏิบัติราชการ เพื่อประกอบการเลื่อนเงินเดือนและค่าจ้างในแต่ละรอบการประเมิน</t>
  </si>
  <si>
    <t>ส่วนที่ 2  ข้อตกลงด้านภาระงาน</t>
  </si>
  <si>
    <t>การกรอกภาระงานบริหาร</t>
  </si>
  <si>
    <t>(ก) ภาระงาน</t>
  </si>
  <si>
    <t>(ข) ตัวชี้วัดความสำเร็จของงาน</t>
  </si>
  <si>
    <t>(ค) ค่าเป้าหมาย</t>
  </si>
  <si>
    <t>(ง) น้ำหนัก 
(ร้อยละ)</t>
  </si>
  <si>
    <t>(จ) เกณฑ์การให้คะแนน</t>
  </si>
  <si>
    <t>คำอธิบายการกรอกภาระงานบริหาร</t>
  </si>
  <si>
    <t>กรณีที่ท่านดำรงตำแหน่งบริหาร ให้คลิกเลือกตำแหน่งบริหารใน "ส่วนที่ 1 ข้อมูลส่วนบุคคล" โปรแกรมจะทำการแสดงภาระงานบริหารและน้ำหนักภาระงานให้อัตโนมัติ กรณีที่ท่านไม่ได้ดำรงตำแหน่งบริหาร ให้เลือกตำแหน่งบริหารเป็น "ไม่มี"</t>
  </si>
  <si>
    <t>รวมน้ำหนักภาระงานบริหาร (ร้อยละ)</t>
  </si>
  <si>
    <t>2.1</t>
  </si>
  <si>
    <t>การกรอกภาระงานตามพันธกิจ เชิงปริมาณ</t>
  </si>
  <si>
    <t>คำอธิบายการกำหนดค่าเป้าหมาย (ค)</t>
  </si>
  <si>
    <t>1)</t>
  </si>
  <si>
    <t>ภาระงานสอน</t>
  </si>
  <si>
    <t>จำนวนชั่วโมงทำการได้เท่ากับหรือไม่น้อยกว่าค่าเป้าหมาย</t>
  </si>
  <si>
    <t>2)</t>
  </si>
  <si>
    <t>ภาระงานวิจัยและงานวิชาการอื่น</t>
  </si>
  <si>
    <t>3)</t>
  </si>
  <si>
    <t>ภาระงานบริการทางวิชาการ</t>
  </si>
  <si>
    <t>4)</t>
  </si>
  <si>
    <t>ภาระงานทำนุบำรุงศิลปวัฒนธรรม</t>
  </si>
  <si>
    <t>รวมน้ำหนักภาระงานพันธกิจ เชิงปริมาณ (ร้อยละ)</t>
  </si>
  <si>
    <t>2.2</t>
  </si>
  <si>
    <t>(ง) น้ำหนัก
(ร้อยละ)</t>
  </si>
  <si>
    <t>คำอธิบายเกณฑ์การให้คะแนน (จ)</t>
  </si>
  <si>
    <t xml:space="preserve">1) </t>
  </si>
  <si>
    <t xml:space="preserve">      </t>
  </si>
  <si>
    <t>1. ในกรณีที่ไม่มีจำนวนชั่วโมงทำการ/สัปดาห์ ค่าคะแนนต่ำสุดคือ 0</t>
  </si>
  <si>
    <t>1.</t>
  </si>
  <si>
    <t>มีการจัดทำตามรูปแบบและส่งตามระยะเวลาที่มหาวิทยาลัยกำหนด</t>
  </si>
  <si>
    <t>มีหลักฐาน เอกสารแนบ หรือที่อยู่ไฟล์เอกสารอ้างอิง</t>
  </si>
  <si>
    <t xml:space="preserve"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</t>
  </si>
  <si>
    <t>ซึ่งต้องปรากฏรายละเอียดใน มคอ. 3</t>
  </si>
  <si>
    <t>2.</t>
  </si>
  <si>
    <t>เขียนอธิบายวิธีการที่ใช้ในการเรียนการสอน ซึ่งต้องปรากฏรายละเอียดใน หมวดที่ 5 เรื่อง แผนการสอนและการประเมินผลใน มคอ. 3</t>
  </si>
  <si>
    <t>มีทักษะการเรียนรู้ในศตวรรษที่ 21</t>
  </si>
  <si>
    <t>การกรอกภาระงานตามพันธกิจ เชิงคุณภาพ</t>
  </si>
  <si>
    <t>3.</t>
  </si>
  <si>
    <t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</t>
  </si>
  <si>
    <t xml:space="preserve">เขียนอธิบาย ซึ่งต้องปรากฏรายละเอียดในหมวดที่ 5 เรื่อง การประเมินรายวิชาใน มคอ.5 </t>
  </si>
  <si>
    <t>4.</t>
  </si>
  <si>
    <t>เขียนอธิบาย ซึ่งต้องปรากฏรายละเอียดในหมวดที่ 5 แผนการสอนและการประเมินผล และ/หรือหมวดที่ 6 เรื่อง ทรัพยากรประกอบการเรียนการสอนใน มคอ.3</t>
  </si>
  <si>
    <t xml:space="preserve">   </t>
  </si>
  <si>
    <t>5.</t>
  </si>
  <si>
    <t>ผลการประเมินของทุกกลุ่ม/รายวิชาไม่น้อยกว่า 3.51 คะแนน 
(เช่น อาจารย์ 1 คน สอนหลายกลุ่มใน 1 รายวิชา ต้องมีค่าเฉลี่ยผลการประเมินความพึงพอใจของทุกกลุ่มไม่น้อยกว่า 3.51 คะแนน  หรือ 1 รายวิชา มีผู้สอนหลายคน แต่ละคนต้องมีผลการประเมินความพึงพอใจไม่น้อยกว่า 3.51 คะแนน)</t>
  </si>
  <si>
    <t xml:space="preserve">2) </t>
  </si>
  <si>
    <t>มีโครงการวิจัยที่กำลังดำเนินการ</t>
  </si>
  <si>
    <t>เริ่มคิดภาระงานวิจัยตามระยะเวลาที่ระบุไว้ในสัญญาการรับทุนวิจัย</t>
  </si>
  <si>
    <t xml:space="preserve">มีการเผยแพร่ผลงานวิจัย 
</t>
  </si>
  <si>
    <t>รวมค่าเป้าหมาย</t>
  </si>
  <si>
    <t xml:space="preserve">แต่กำหนดคะแนนสูงสุด คือ ร้อยละ 5)                         </t>
  </si>
  <si>
    <t xml:space="preserve">     ค่าน้ำหนัก 0.2   จำนวนชิ้นงาน</t>
  </si>
  <si>
    <t xml:space="preserve">     ค่าน้ำหนัก 0.4   จำนวนชิ้นงาน</t>
  </si>
  <si>
    <t xml:space="preserve">     ค่าน้ำหนัก 0.6   จำนวนชิ้นงาน</t>
  </si>
  <si>
    <t xml:space="preserve">     ค่าน้ำหนัก 0.8   จำนวนชิ้นงาน</t>
  </si>
  <si>
    <t xml:space="preserve">     ค่าน้ำหนัก 1.0   จำนวนชิ้นงาน</t>
  </si>
  <si>
    <t xml:space="preserve">3) </t>
  </si>
  <si>
    <t>ภาระงานบริการวิชาการ</t>
  </si>
  <si>
    <t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</t>
  </si>
  <si>
    <t xml:space="preserve">ให้เขียนอธิบายหรือมีหลักฐานแนบ </t>
  </si>
  <si>
    <t>ให้เขียนอธิบายโดยอ้างอิงตาม มคอ. หรือแผนการสอนให้ชัดเจน หรือมีหลักฐานแนบ</t>
  </si>
  <si>
    <t>มีการบูรณาการงานบริการวิชาการกับงานวิจัย เช่น พัฒนาข้อเสนอโครงการวิจัยจากความต้องการของชุมชนสังคม</t>
  </si>
  <si>
    <t>(ก) สมรรถนะหลัก</t>
  </si>
  <si>
    <t>(ข) สมรรถนะประจำกลุ่มงาน</t>
  </si>
  <si>
    <t>(ค) สมรรถนะบริหาร</t>
  </si>
  <si>
    <t>คำอธิบายการกำหนดค่ามาตรฐานของสมรรถนะ</t>
  </si>
  <si>
    <t>หัวข้อ</t>
  </si>
  <si>
    <t>ค่ามาตรฐาน</t>
  </si>
  <si>
    <t>กรณีที่ดำรงตำแหน่งบริหาร</t>
  </si>
  <si>
    <t>1. ความใฝ่รู้</t>
  </si>
  <si>
    <t>1. ทักษะการให้คำปรึกษา</t>
  </si>
  <si>
    <t>1. การบริหารจัดการ</t>
  </si>
  <si>
    <t>ค่ามาตรฐานสมรรถนะหลัก (ก) และสมรรถนะผู้บริหาร (ค) ให้ใช้ค่ามาตรฐานตามสมรรถนะของผู้บริหารเป็นหลัก ส่วนสมรรถนะประจำกลุ่มงาน (ข) ให้ใช้ค่ามาตรฐานตามตำแหน่งทางวิชาการ</t>
  </si>
  <si>
    <t>2. การทำงานเป็นทีมและการสร้างเครือข่าย</t>
  </si>
  <si>
    <t>2. ทักษะการสอน</t>
  </si>
  <si>
    <t>2. การวางแผน</t>
  </si>
  <si>
    <t>3. ความคิดริเริ่มสร้างสรรค์</t>
  </si>
  <si>
    <t>3. ทักษะด้านการวิจัยและนวัตกรรม</t>
  </si>
  <si>
    <t>3. การมีวิสัยทัศน์</t>
  </si>
  <si>
    <t>4. ความสามารถในการใช้ภาษาต่างประเทศ</t>
  </si>
  <si>
    <t>4. ความรู้ความเชี่ยวชาญด้านวิชาการ</t>
  </si>
  <si>
    <t>4. การแก้ไขปัญหา</t>
  </si>
  <si>
    <t>กรณีที่ไม่ได้ดำรงตำแหน่งบริหาร</t>
  </si>
  <si>
    <t>5. ทักษะด้านการใช้เทคโนโลยีสารสนเทศ</t>
  </si>
  <si>
    <t>5. ความกระตือรือร้นและการเป็นแบบอย่างที่ดี</t>
  </si>
  <si>
    <t>ค่ามาตรฐานสมรรถนะหลัก (ก) และสมรรถนะประจำกลุ่มงาน (ข) ให้ใช้ค่ามาตรฐานตามตำแหน่งทางวิชาการ</t>
  </si>
  <si>
    <t>ข้อตกลงภาระงานดังกล่าว</t>
  </si>
  <si>
    <t xml:space="preserve">        เป็นไปตามมาตรฐานภาระงานทางวิชาการ*</t>
  </si>
  <si>
    <t xml:space="preserve">        ไม่เป็นเป็นไปตามมาตรฐานภาระงานทางวิชาการ* เนื่องจาก.................................................................................................................</t>
  </si>
  <si>
    <t>ลงชื่อ</t>
  </si>
  <si>
    <t>...................................................................</t>
  </si>
  <si>
    <t>ผู้ปฏิบัติงาน</t>
  </si>
  <si>
    <t>วันที่ .............../.............../.................</t>
  </si>
  <si>
    <t>ผู้บังคับบัญชาระดับต้น</t>
  </si>
  <si>
    <t>(.................................................................)</t>
  </si>
  <si>
    <t>......................................................................</t>
  </si>
  <si>
    <t>วันที่ ................../.................../.................</t>
  </si>
  <si>
    <t>ผู้บังคับบัญชาระดับเหนือขึ้นไป</t>
  </si>
  <si>
    <t>ระดับการเผยแพร่</t>
  </si>
  <si>
    <t>ประเภทผลงาน</t>
  </si>
  <si>
    <t>ประเภทสิทธิบัตร</t>
  </si>
  <si>
    <t>ตำแหน่งวิชาการ</t>
  </si>
  <si>
    <t>สถานที่ประชุม</t>
  </si>
  <si>
    <t>สถานที่ฝึกอบรม</t>
  </si>
  <si>
    <t>ประเมินตำแหน่งวิชาการ</t>
  </si>
  <si>
    <t>ผ่านการประเมิน</t>
  </si>
  <si>
    <t>ประเภทบุคลากร</t>
  </si>
  <si>
    <t>ค่าน้ำหนัก</t>
  </si>
  <si>
    <t>เผยแพร่ในวารสารวิชาการ</t>
  </si>
  <si>
    <t>ตรวจสอบ</t>
  </si>
  <si>
    <t>เผยแพร่วารสารและประชุม</t>
  </si>
  <si>
    <t>รอบการประเมิน</t>
  </si>
  <si>
    <t>ระดับชาติ</t>
  </si>
  <si>
    <t>บรรยาย</t>
  </si>
  <si>
    <t>สิทธิบัตร</t>
  </si>
  <si>
    <t>ผู้ช่วยศาสตราจารย์</t>
  </si>
  <si>
    <t>คณะบริหารธุรกิจ</t>
  </si>
  <si>
    <t>ในวิทยาเขต</t>
  </si>
  <si>
    <t>ในประเทศ</t>
  </si>
  <si>
    <t>ผ่าน</t>
  </si>
  <si>
    <t>1.0 วารสารวิชาการระดับนานาชาติที่ปรากฏในฐานข้อมูลระดับนานาชาติ</t>
  </si>
  <si>
    <t>ใช่</t>
  </si>
  <si>
    <t>ระดับนานาชาติ</t>
  </si>
  <si>
    <t>โปสเตอร์</t>
  </si>
  <si>
    <t>อนุสิทธิบัตร</t>
  </si>
  <si>
    <t>รองศาสตราจารย์</t>
  </si>
  <si>
    <t>คณะผลิตกรรมการเกษตร</t>
  </si>
  <si>
    <t>นอกวิทยาเขต</t>
  </si>
  <si>
    <t>นานาชาติ</t>
  </si>
  <si>
    <t>ไม่ผ่าน</t>
  </si>
  <si>
    <t>0.8 วารสารทางวิชาการระดับนานาชาติที่ไม่อยู่ในฐานข้อมูล (สภาอนุมัติ)</t>
  </si>
  <si>
    <t>ศาสตราจารย์</t>
  </si>
  <si>
    <t>คณะพัฒนาการท่องเที่ยว</t>
  </si>
  <si>
    <t>รองคณบดีหรือรองหัวหน้าหน่วยงานที่มีฐานะเทียบเท่าคณะ</t>
  </si>
  <si>
    <t>0.8 วารสารวิชาการที่ปรากฏในฐานข้อมูล TCI กลุ่มที่ 1</t>
  </si>
  <si>
    <t>ผู้เชี่ยวชาญ</t>
  </si>
  <si>
    <t>คณะวิทยาศาสตร์</t>
  </si>
  <si>
    <t>ครู คศ.3</t>
  </si>
  <si>
    <t xml:space="preserve">0.6 วารสารทางวิชาการที่ปรากฏในฐานข้อมูล TCI กลุ่มที่ 2 </t>
  </si>
  <si>
    <t>คณะวิศวกรรมและอุตสาหกรรมเกษตร</t>
  </si>
  <si>
    <t>0.4 วารสารทางวิชาการระดับชาติที่ไม่อยู่ในฐานข้อมูล (สภาอนุมัติ)</t>
  </si>
  <si>
    <t>0.4 รายงานสืบเนื่องจากการประชุมวิชาการระดับนานาชาติ</t>
  </si>
  <si>
    <t>คณะศิลปศาสตร์</t>
  </si>
  <si>
    <t>คณะเศรษฐศาสตร์</t>
  </si>
  <si>
    <t>0.2 รายงานสืบเนื่องจากการประชุมวิชาการระดับชาติ</t>
  </si>
  <si>
    <t>คณะสถาปัตยกรรมศาสตร์และการออกแบบสิ่งแวดล้อม</t>
  </si>
  <si>
    <t>คณะสัตวศาสตร์และเทคโนโลยี</t>
  </si>
  <si>
    <t>คณะสารสนเทศและการสื่อสาร</t>
  </si>
  <si>
    <t>บัณฑิตวิทยาลัย</t>
  </si>
  <si>
    <t>มหาวิทยาลัยแม่โจ้ - ชุมพร</t>
  </si>
  <si>
    <t>มหาวิทยาลัยแม่โจ้-แพร่ เฉลิมพระเกียรติ</t>
  </si>
  <si>
    <t>วิทยาลัยบริหารศาสตร์</t>
  </si>
  <si>
    <t>วิทยาลัยพลังงานทดแทน</t>
  </si>
  <si>
    <t>รองผู้อำนวยการหน่วยงานวิสาหกิจ</t>
  </si>
  <si>
    <t>ผู้อำนวยการวิสาหกิจ(ภายใต้การกำกับของคณะ)</t>
  </si>
  <si>
    <t>ผู้อำนวยการหน่วยงานวิสาหกิจ</t>
  </si>
  <si>
    <t>ร้อยละ</t>
  </si>
  <si>
    <t>ชม.</t>
  </si>
  <si>
    <t>บริหาร</t>
  </si>
  <si>
    <t>พันธกิจ</t>
  </si>
  <si>
    <t>IDP</t>
  </si>
  <si>
    <t>SAR</t>
  </si>
  <si>
    <t>ยุทธศาสตร์</t>
  </si>
  <si>
    <t>ภาระงานอื่น ๆ</t>
  </si>
  <si>
    <t>ประเมินตนเอง</t>
  </si>
  <si>
    <t>ประกันคุณภาพ</t>
  </si>
  <si>
    <t>งานยุทธศาสตร์</t>
  </si>
  <si>
    <t>Competency</t>
  </si>
  <si>
    <t>รวมร้อยละ</t>
  </si>
  <si>
    <t>ประธานสภาพนักงาน</t>
  </si>
  <si>
    <t>รวมชั่วโมง</t>
  </si>
  <si>
    <t>ตัวชี้วัด</t>
  </si>
  <si>
    <t>อื่นๆ</t>
  </si>
  <si>
    <t>ข้อบริหาร</t>
  </si>
  <si>
    <t>เกณฑ์</t>
  </si>
  <si>
    <t>ข้อพันธกิจ</t>
  </si>
  <si>
    <t>เชิงปริมาณ</t>
  </si>
  <si>
    <t>เชิงคุณภาพ</t>
  </si>
  <si>
    <t>2. ในกรณีที่จำนวนชั่วโมงทำการของภาระงานได้เท่ากับหรือมากกว่า
    ค่าเป้าหมายที่กำหนด (ค) ให้ได้ค่าคะแนนสูงสุดคือ 5
3. ในกรณีที่จำนวนชั่วโมงทำการของภาระงานได้น้อยกว่าค่าเป้าหมายที่</t>
  </si>
  <si>
    <t xml:space="preserve">    กำหนด (ค) ให้ได้คะแนนลดลงตามสัดส่วนจำนวนชั่วโมงทำการที่ทำได้</t>
  </si>
  <si>
    <t>มีการรายงานผลการดำเนินการของรายวิชา (มคอ.5) ทุกจำนวนรายวิชาที่สอน ในภาคการศึกษาที่ผ่านมา</t>
  </si>
  <si>
    <t>พันธกิจ(เชิงคุณภาพ)</t>
  </si>
  <si>
    <t>คิดภาระงานได้เป็น 5 ระดับ (นับคะแนนตามจำนวนชิ้นงาน</t>
  </si>
  <si>
    <t>Core Competency</t>
  </si>
  <si>
    <t>Managerial Competency</t>
  </si>
  <si>
    <t>แบบ ป.วช-02</t>
  </si>
  <si>
    <t xml:space="preserve">ส่วนที่ 2 แบบรายงานภาระงานตามข้อตกลง/แบบประเมินผลสัมฤทธิ์ของงาน 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</si>
  <si>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</si>
  <si>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</si>
  <si>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</si>
  <si>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
(ร้อยละ)</t>
  </si>
  <si>
    <t>(ฉ) คะแนน</t>
  </si>
  <si>
    <t>(ช) คะแนนรวม
(ค) x (ฉ)</t>
  </si>
  <si>
    <t>(1) สรุปคะแนนด้านภาระงานบริหาร = ผลคะแนนรวมของ(คะแนน x น้ำหนัก) / 5</t>
  </si>
  <si>
    <t>ตามเกณฑ์</t>
  </si>
  <si>
    <t>ชม. ส่วนขาด</t>
  </si>
  <si>
    <t>ชมส่วนเกิน</t>
  </si>
  <si>
    <t>คะแนนพื้นฐาน</t>
  </si>
  <si>
    <t>ต้องการจำนวนชมเพิ่ม</t>
  </si>
  <si>
    <t>จำนวนชม ที่โยกได้</t>
  </si>
  <si>
    <t>คงเหลือ</t>
  </si>
  <si>
    <t>จน.ชม.ปรับ</t>
  </si>
  <si>
    <t>คะแนนพื้นฐานปรับ</t>
  </si>
  <si>
    <t>(ค) รายงานผลสำเร็จของงานตามตัวชี้วัดใน TOR
(จำนวนชม.ทำการ/สัปดาห์)</t>
  </si>
  <si>
    <t>(ช) คะแนนรวม
(จ) x (ฉ)</t>
  </si>
  <si>
    <t>สรุปคะแนนด้านภาระงานตามพันธกิจ เชิงปริมาณ = ผลคะแนนรวมของ(คะแนน x น้ำหนัก) / 5</t>
  </si>
  <si>
    <t>(ช) คะแนนรวม
(ร้อยละ)</t>
  </si>
  <si>
    <t>มีการผลิตสื่อการสอน เช่น เอกสารประกอบการสอน เอกสารคำสอน ตำรา หนังสือ ฯลฯ</t>
  </si>
  <si>
    <t>มีการเผยแพร่ผลงานวิจัย</t>
  </si>
  <si>
    <t xml:space="preserve">    ค่าน้ำหนัก 0.2</t>
  </si>
  <si>
    <t>จำนวนชิ้นงาน</t>
  </si>
  <si>
    <t xml:space="preserve">    ค่าน้ำหนัก 0.4</t>
  </si>
  <si>
    <t xml:space="preserve">    ค่าน้ำหนัก 0.6</t>
  </si>
  <si>
    <t xml:space="preserve">    ค่าน้ำหนัก 0.8</t>
  </si>
  <si>
    <t xml:space="preserve">    ค่าน้ำหนัก 1.0</t>
  </si>
  <si>
    <t>การคิดคะแนนภาระงานตามพันธกิจ เชิงคุณภาพ</t>
  </si>
  <si>
    <t>มีการบูรณาการงานบริการวิชาการกับงานวิจัย  เช่น พัฒนาข้อเสนอโครงการวิจัยจากความต้องการของชุมชนสังคม</t>
  </si>
  <si>
    <t>(2) สรุปคะแนนด้านภาระงานตามพันธกิจ = ผลคะแนนรวมของภาระงานเชิงปริมาณ + เชิงคุณภาพ</t>
  </si>
  <si>
    <t>(จ) น้ำหนัก</t>
  </si>
  <si>
    <t>(3) สรุปคะแนนด้านภาระงานอื่นๆ ที่ได้รับมอบหมาย = ผลคะแนนรวมของ(คะแนน x น้ำหนัก) / 5</t>
  </si>
  <si>
    <t>(ค) เอกสารอ้างอิง</t>
  </si>
  <si>
    <t>(1) มาตรฐาน</t>
  </si>
  <si>
    <t>(2) ประเมินตนเอง</t>
  </si>
  <si>
    <t xml:space="preserve">(3) ประเมินโดยผู้บังคับบัญชา </t>
  </si>
  <si>
    <t>(4) สรุปผลการประเมิน</t>
  </si>
  <si>
    <t>(5) ค่าผลต่าง (4) - (1)</t>
  </si>
  <si>
    <t>สมรรถนะหลัก</t>
  </si>
  <si>
    <t>สมรรถนะประจำกลุ่มงาน</t>
  </si>
  <si>
    <t>สมรรถนะผู้บริหาร</t>
  </si>
  <si>
    <t>จำนวน</t>
  </si>
  <si>
    <t>ตัวคูณ</t>
  </si>
  <si>
    <t>คะแนน</t>
  </si>
  <si>
    <t>รวม</t>
  </si>
  <si>
    <t>ภาระงานที่ปรากฏเป็นผลงานทางวิชาการ</t>
  </si>
  <si>
    <t>จำนวนมาตรฐานผลงานตามเกณฑ์ที่กำหนด (ปีละ)</t>
  </si>
  <si>
    <t>จำนวนผลงานที่ได้ดำเนินงาน</t>
  </si>
  <si>
    <t>สรุปภาระงานตามมาตรฐานผลงานทางวิชาการ</t>
  </si>
  <si>
    <t>(ก) องค์ประกอบการประเมิน</t>
  </si>
  <si>
    <t>(ข) คะแนน</t>
  </si>
  <si>
    <t>องค์ประกอบที่ 1  : ผลสัมฤทธิ์ของงาน    (ร้อยละ 80 )</t>
  </si>
  <si>
    <t>รายงานการดำเนินงาน</t>
  </si>
  <si>
    <t>ระดับผลการประเมิน</t>
  </si>
  <si>
    <t>ความคิดเห็นเพิ่มของผู้ประเมิน (ระบุข้อมูลเมื่อสิ้นรอบการประเมิน)</t>
  </si>
  <si>
    <t>ผู้รับการประเมินได้รายงานภาระงานตามข้อตกลงเพื่อประกอบการพิจารณา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</si>
  <si>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</si>
  <si>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ประเมินผลการปฏิบัติงานครบทุกองค์ประกอบแล้ว จึงลงรายมือชื่อไว้เป็นหลักฐาน :</t>
  </si>
  <si>
    <t>ถึงผลการประเมินเป็นที่เรียบร้อยแล้ว จึงลงลายมือชื่อไว้เป็นหลักฐาน :</t>
  </si>
  <si>
    <t xml:space="preserve">ลงชื่อ …………………………….………………… </t>
  </si>
  <si>
    <t xml:space="preserve">ลงชื่อ ……………………………………… </t>
  </si>
  <si>
    <t>ผู้บังคับบัญชาชั้นต้น</t>
  </si>
  <si>
    <t xml:space="preserve">   (                                         )</t>
  </si>
  <si>
    <t>ลงชื่อ ………………………………………</t>
  </si>
  <si>
    <t xml:space="preserve"> ผู้บังคับบัญชาระดับเหนือขึ้นไป</t>
  </si>
  <si>
    <t xml:space="preserve">หมายเหตุ </t>
  </si>
  <si>
    <t xml:space="preserve">- ผู้บังคับบัญชาชั้นต้น ได้แก่ ประธานหลักสูตร หรือหัวหน้ากลุ่มสาขาวิชา </t>
  </si>
  <si>
    <t>- ผู้บังคับบัญชาระดับเหนือขึ้นไป ได้แก่ คณบดี หรือตำแหน่งที่เทียบเท่า</t>
  </si>
  <si>
    <t>คำชี้แจง :</t>
  </si>
  <si>
    <t>1. การคิดภาระงานสอน และการเป็นอาจารย์คุมสอบให้คิดตามภาคการศึกษาที่ 1/2560 คือ ตั้งแต่ มิถุนายน 2560 - ตุลาคม 2560</t>
  </si>
  <si>
    <t>2. การคิดภาระงานด้านอื่นให้คิดตั้งแต่วันที่ 1 เมษายน 2560 - 30 กันยายน 2560</t>
  </si>
  <si>
    <t>ข้อมูลผู้ประเมิน</t>
  </si>
  <si>
    <t xml:space="preserve">ชื่อ :  </t>
  </si>
  <si>
    <t xml:space="preserve">ตำแหน่ง :  </t>
  </si>
  <si>
    <t xml:space="preserve">สังกัด :  </t>
  </si>
  <si>
    <t xml:space="preserve">ตำแหน่งบริหาร :  </t>
  </si>
  <si>
    <t>สัปดาห์</t>
  </si>
  <si>
    <t>(1)</t>
  </si>
  <si>
    <t>ภาระงานทำนุบำรุงศิลปวัฒนธรรมฯ</t>
  </si>
  <si>
    <t>จำนวนภาระงาน</t>
  </si>
  <si>
    <t>ที่ได้ดำเนินงาน</t>
  </si>
  <si>
    <t>ที่กำหนด (ปีละ)</t>
  </si>
  <si>
    <t>ส่วนที่ 1 ภาระงานสอน</t>
  </si>
  <si>
    <t>ภาระงานสอน
(15 ชั่วโมงทำการ/สัปดาห์)</t>
  </si>
  <si>
    <t>ชม.ทำการ/
ภาคการศึกษา</t>
  </si>
  <si>
    <t>ชม.ทำการ/สัปดาห์</t>
  </si>
  <si>
    <t>การสอนบรรยายและคุมปฏิบัติการ</t>
  </si>
  <si>
    <t>วิชาโครงงาน (project) / งานวิจัยนศ.ป.ตรี / ปัญหาพิเศษ / การเรียนรู้อิสระ / วิทยานิพนธ์ (ป.ตรี)</t>
  </si>
  <si>
    <t xml:space="preserve">วิชาสัมมนา </t>
  </si>
  <si>
    <t>สหกิจศึกษา (ในประเทศ และต่างประเทศ)</t>
  </si>
  <si>
    <t>วิชาฝึกงาน (มีการลงทะเบียนเรียน)</t>
  </si>
  <si>
    <t>6.</t>
  </si>
  <si>
    <t>ภาระงานดุษฎีนิพนธ์ / วิทยานิพนธ์ / สารนิพนธ์</t>
  </si>
  <si>
    <t>7.</t>
  </si>
  <si>
    <t>ผลงานวิชาการ (ด้านการเรียนการสอน)</t>
  </si>
  <si>
    <t>8.</t>
  </si>
  <si>
    <t>การวิจัยในชั้นเรียน (ที่หน่วยงานต้นสังกัดรับรอง)</t>
  </si>
  <si>
    <t>9.</t>
  </si>
  <si>
    <t xml:space="preserve">ภาระงานสอนอื่นๆ </t>
  </si>
  <si>
    <t>รวมภาระงานสอน เชิงปริมาณ</t>
  </si>
  <si>
    <t>หลักฐาน</t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</si>
  <si>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0"/>
        <color theme="1"/>
        <rFont val="Arial"/>
        <family val="2"/>
      </rPr>
      <t>และ</t>
    </r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</si>
  <si>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0"/>
        <rFont val="Arial"/>
        <family val="2"/>
      </rPr>
      <t>และ/หรือ</t>
    </r>
  </si>
  <si>
    <t>รวมภาระงานสอน เชิงคุณภาพ</t>
  </si>
  <si>
    <t>ส่วนที่ 2 ภาระงานวิจัยและงานวิชาการอื่น</t>
  </si>
  <si>
    <t>ภาระงานวิจัยและงานวิชาการอื่น
(6 ชั่วโมงทำการ/สัปดาห์)</t>
  </si>
  <si>
    <t>งานวิจัยที่กำลังดำเนินงาน</t>
  </si>
  <si>
    <t>ผลงานทางวิชาการ</t>
  </si>
  <si>
    <t>รวมภาระงานวิจัยและงานวิชาการอื่น เชิงปริมาณ</t>
  </si>
  <si>
    <t>มีงานวิจัยที่กำลังดำเนินการ
ทุกจำนวนรายวิชาที่สอน</t>
  </si>
  <si>
    <t>รวมภาระงานวิจัยและงานวิชาการอื่น เชิงคุณภาพ</t>
  </si>
  <si>
    <t>ส่วนที่ 3 ภาระงานบริการวิชาการ</t>
  </si>
  <si>
    <t>ภาระงานบริการวิชาการ
(3 ชั่วโมงทำการ/สัปดาห์)</t>
  </si>
  <si>
    <t>การเป็นวิทยากร</t>
  </si>
  <si>
    <t xml:space="preserve">2.  </t>
  </si>
  <si>
    <t>การเป็นผู้ช่วยวิทยากร</t>
  </si>
  <si>
    <t xml:space="preserve">3. </t>
  </si>
  <si>
    <t xml:space="preserve">การเป็นกรรมการที่แต่งตั้งโดยหน่วยงานภายนอกมหาวิทยาลัย </t>
  </si>
  <si>
    <t xml:space="preserve">4. </t>
  </si>
  <si>
    <t>การเป็นกรรมการสอบดุษฎีนิพนธ์/วิทยานิพนธ์ ให้หน่วยงานภายนอก</t>
  </si>
  <si>
    <t>การไปปฎิบัติงานตามคำเชิญของหน่วยงานภายนอก</t>
  </si>
  <si>
    <t>อาจารย์พี่เลี้ยง</t>
  </si>
  <si>
    <t>ที่ปรึกษาผลงานวิชาการ</t>
  </si>
  <si>
    <t>พิจารณาบทความ</t>
  </si>
  <si>
    <t xml:space="preserve">พิจารณารายงานวิจัยฉบับสมบรูณ์ </t>
  </si>
  <si>
    <t>10.</t>
  </si>
  <si>
    <t>พิจารณาข้อเสนอโครงการวิจัย</t>
  </si>
  <si>
    <t>11.</t>
  </si>
  <si>
    <t>พิจารณาผลงานทางวิชาการ</t>
  </si>
  <si>
    <t>12.</t>
  </si>
  <si>
    <t>จัดทำบทวิทยุ</t>
  </si>
  <si>
    <t>13.</t>
  </si>
  <si>
    <t>จัดรายการวิทยุ/โทรทัศน์ การจัดทำสื่อ</t>
  </si>
  <si>
    <t>14.</t>
  </si>
  <si>
    <t>จัดทำวารสารทางวิชาการ (บก./กอง บก.)</t>
  </si>
  <si>
    <t>15.</t>
  </si>
  <si>
    <t>จัดทำเอกสารแปล/งานแปล</t>
  </si>
  <si>
    <t>16.</t>
  </si>
  <si>
    <t>เขียนบทความทางวิชาการ (ใช้เฉพาะในการบริการวิชาการในแต่ละครั้ง)</t>
  </si>
  <si>
    <t>17.</t>
  </si>
  <si>
    <t>จัดทำเอกสารเผยแพร่ความรู้ทางวิชาการ</t>
  </si>
  <si>
    <t>18.</t>
  </si>
  <si>
    <t>การจัดฝึกอบรม สัมมนา ฯ</t>
  </si>
  <si>
    <t>19.</t>
  </si>
  <si>
    <t xml:space="preserve">การจัดประชุมวิชาการ ฯ </t>
  </si>
  <si>
    <t>20.</t>
  </si>
  <si>
    <t>ที่ปรึกษาหน่วยงานของรัฐ/ กลุ่ม ชุมชนท้องถิ่น</t>
  </si>
  <si>
    <t>21.</t>
  </si>
  <si>
    <t>งานวิเคราะห์ ทดสอบฯ</t>
  </si>
  <si>
    <t>22.</t>
  </si>
  <si>
    <t>การให้บริการทางวิชาการแก่บุคคลหรือหน่วยงานภายนอกสถานศึกษา</t>
  </si>
  <si>
    <t>23.</t>
  </si>
  <si>
    <t>การให้บริการทางวิชาการอื่นๆ เช่น การเยี่ยมชมฐานเรียนรู้ โดยมีหลักฐานอื่นๆ</t>
  </si>
  <si>
    <t>24.</t>
  </si>
  <si>
    <t>การให้บริการวิชาการที่ทำในลักษณะ Consultant</t>
  </si>
  <si>
    <t>25.</t>
  </si>
  <si>
    <t>การออกให้บริการชุมชน พัฒนาชุมชน</t>
  </si>
  <si>
    <t>26.</t>
  </si>
  <si>
    <t>ผลงานที่ได้นำไปใช้ประโยชน์ต่อชุมชน</t>
  </si>
  <si>
    <t>27.</t>
  </si>
  <si>
    <t xml:space="preserve">การเป็นอาจารย์พิเศษมหาวิทยาลัยอื่น ๆ </t>
  </si>
  <si>
    <t>28.</t>
  </si>
  <si>
    <t>ภาระงานให้บริการอื่นๆ นอกเหนือจากที่ระบุข้างต้น</t>
  </si>
  <si>
    <t>รวมภาระงานบริการวิชาการ เชิงปริมาณ</t>
  </si>
  <si>
    <r>
      <t xml:space="preserve">มีการบูรณาการงานบริการวิชาการกับการเรียนการสอน เช่น การถ่ายทอดประสบการณ์จากการบริการวิชาการในชั้นเรียน </t>
    </r>
    <r>
      <rPr>
        <b/>
        <u/>
        <sz val="10"/>
        <rFont val="Arial"/>
        <family val="2"/>
      </rPr>
      <t>หรือ</t>
    </r>
  </si>
  <si>
    <t>รวมภาระงานบริการวิชาการ เชิงคุณภาพ</t>
  </si>
  <si>
    <t>ส่วนที่ 4 ภาระงานทำนุบำรุงศิลปวัฒนธรรมและการส่งเสริมวัฒนธรรมองค์กร</t>
  </si>
  <si>
    <t>ภาระงานทำนุบำรุงศิลปวัฒนธรรมและการส่งเสริมวัฒนธรรมองค์กร
(1 ชั่วโมงทำการ/สัปดาห์)</t>
  </si>
  <si>
    <t xml:space="preserve">คณะกรรมการจัดทำและเข้าร่วมโครงการ </t>
  </si>
  <si>
    <t>ผู้เข้าร่วม</t>
  </si>
  <si>
    <t xml:space="preserve">กิจกรรมทางศาสนาอื่นๆ </t>
  </si>
  <si>
    <t>การสร้างวัฒนธรรมในองค์กร</t>
  </si>
  <si>
    <t>รวมภาระงานทำนุบำรุงศิลปวัฒนธรรมฯ</t>
  </si>
  <si>
    <t>ส่วนที่ 5 ภาระงานอื่น ๆ</t>
  </si>
  <si>
    <t xml:space="preserve">ภาระงานอื่น ๆ
</t>
  </si>
  <si>
    <t>อาจารย์ที่ปรึกษาชมรมกิจกรรมนักศึกษา / หอพักนศ.</t>
  </si>
  <si>
    <t>อาจารย์ที่ปรึกษานศ. (แต่งตั้งโดยคณะ)</t>
  </si>
  <si>
    <t>คณะกรรมการที่หน่วยงานภายในแต่งตั้ง (หลักสูตร/คณะ/ม.) ไม่รวมการเป็นกรรมการโดยตำแหน่งบริหาร</t>
  </si>
  <si>
    <t>การจัดทำโครงการที่เกี่ยวข้องกับสมรรถนะตามที่มหาวิทยาลัย/คณะ กำหนด</t>
  </si>
  <si>
    <t>ภาระงานอื่นๆ ที่ได้รับมอบหมาย</t>
  </si>
  <si>
    <t>รวมภาระงานอื่น ๆ</t>
  </si>
  <si>
    <t>หลักสูตร</t>
  </si>
  <si>
    <t xml:space="preserve">หลักสูตร :  </t>
  </si>
  <si>
    <r>
      <t>ส่วนที่ 1 การคำนวนภาระงานสอน</t>
    </r>
    <r>
      <rPr>
        <b/>
        <sz val="18"/>
        <rFont val="Arial"/>
        <family val="2"/>
      </rPr>
      <t/>
    </r>
  </si>
  <si>
    <t>ภาระงานสอน เชิงคุณภาพ</t>
  </si>
  <si>
    <t>ข้อที่</t>
  </si>
  <si>
    <t>รายละเอียดภาระงาน</t>
  </si>
  <si>
    <t>มีการดำเนินงาน</t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</si>
  <si>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0"/>
        <rFont val="Arial"/>
        <family val="2"/>
      </rPr>
      <t>และ</t>
    </r>
  </si>
  <si>
    <t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โดยมีการจัดทำตามรูปแบบและส่งตามระยะเวลาที่มหาวิทยาลัยกำหนด</t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</si>
  <si>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0"/>
        <rFont val="Arial"/>
        <family val="2"/>
      </rPr>
      <t>และ/หรือ</t>
    </r>
    <r>
      <rPr>
        <sz val="10"/>
        <rFont val="Arial"/>
        <family val="2"/>
      </rPr>
      <t xml:space="preserve">
</t>
    </r>
  </si>
  <si>
    <t>มีทักษะการเรียนรู้ในศตวรรษที่ 21 โดยเขียนอธิบายวิธีการที่ใช้ในการเรียนการสอน ซึ่งต้องปรากฏรายละเอียดในหมวดที่ 5 เรื่อง แผนการสอนและการประเมินผลใน มคอ.3</t>
  </si>
  <si>
    <t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ซึ่งต้องปรากฏรายละเอียดในหมวดที่ 5 เรื่อง การประเมินรายวิชาใน มคอ.5 </t>
  </si>
  <si>
    <r>
      <t xml:space="preserve">มีการผลิตสื่อการสอน เช่น เอกสารประกอบการสอน เอกสารคำสอน ตำรา หนังสือ ฯลฯ ซึ่งเป็นสื่อการสอนที่อาจารย์ผู้สอนเป็นผู้เขียน/แต่ง/เรียบเรียง โดยมีเนื้อหาที่ทันสมัย (กรณีที่มีการปรับปรุงเนื้อหาในสื่อการสอน ให้แสดงหลักฐานการปรับปรุงเนื้อหา) ซึ่งต้องปรากฏรายละเอียดในหมวดที่ 5 แผนการสอนและการประเมินผล และ/หรือหมวดที่ 6 เรื่อง ทรัพยากรประกอบการเรียนการสอนใน มคอ.3 
</t>
    </r>
    <r>
      <rPr>
        <sz val="10"/>
        <color rgb="FFC00000"/>
        <rFont val="Arial"/>
        <family val="2"/>
      </rPr>
      <t>*กรณีเป็นสื่อการสอนประเภท เอกสารประกอบการสอน เอกสารคำสอน ตำรา หนังสือ ต้องผ่านเกณฑ์การประเมินจากผู้ทรงคุณวุฒิ/คณะอนุกรรมการประเมินผลการสอน</t>
    </r>
  </si>
  <si>
    <t>รวมคะแนนภาระงานสอน เชิงคุณภาพ</t>
  </si>
  <si>
    <t>ภาระงานสอน เชิงปริมาณ</t>
  </si>
  <si>
    <t>การสอนบรรยายและคุมปฏิบัติการ ระดับปริญญาตรี</t>
  </si>
  <si>
    <t>1) หมวดวิชาศึกษาทั่วไป (ภาคบรรยาย)</t>
  </si>
  <si>
    <t>(กรอกภาระงานเป็นรายวิชาแยกตามกลุ่มเรียน (Section))</t>
  </si>
  <si>
    <t>รหัสวิชา</t>
  </si>
  <si>
    <t>ชื่อวิชา</t>
  </si>
  <si>
    <t>ชม.ทำงานจริง/</t>
  </si>
  <si>
    <t>สัดส่วน (%) กรณี</t>
  </si>
  <si>
    <t>ค่าถ่วง</t>
  </si>
  <si>
    <t>ชั่วโมงทำการ/</t>
  </si>
  <si>
    <t>นักศึกษา</t>
  </si>
  <si>
    <t>ภาคการศึกษา</t>
  </si>
  <si>
    <t>เป็นผู้ประสานงาน</t>
  </si>
  <si>
    <t>Section</t>
  </si>
  <si>
    <t>น้ำหนัก</t>
  </si>
  <si>
    <t>รายวิชา</t>
  </si>
  <si>
    <t>ตัวอย่าง</t>
  </si>
  <si>
    <t>วท101</t>
  </si>
  <si>
    <t>วิชาที่ 1</t>
  </si>
  <si>
    <t>วิชาที่ 2</t>
  </si>
  <si>
    <t>วิชาที่ 3</t>
  </si>
  <si>
    <t>วิชาที่ 4</t>
  </si>
  <si>
    <t>วิชาที่ 5</t>
  </si>
  <si>
    <t>วิชาที่ 6</t>
  </si>
  <si>
    <t>วิชาที่ 7</t>
  </si>
  <si>
    <t>วิชาที่ 8</t>
  </si>
  <si>
    <t>วิชาที่ 9</t>
  </si>
  <si>
    <t>วิชาที่ 10</t>
  </si>
  <si>
    <t>วิชาที่ 11</t>
  </si>
  <si>
    <t>วิชาที่ 12</t>
  </si>
  <si>
    <t>วิชาที่ 13</t>
  </si>
  <si>
    <t>วิชาที่ 14</t>
  </si>
  <si>
    <t>วิชาที่ 15</t>
  </si>
  <si>
    <t>วิชาที่ 16</t>
  </si>
  <si>
    <t>วิชาที่ 17</t>
  </si>
  <si>
    <t>วิชาที่ 18</t>
  </si>
  <si>
    <t>วิชาที่ 19</t>
  </si>
  <si>
    <t>วิชาที่ 20</t>
  </si>
  <si>
    <t>วิชาที่ 21</t>
  </si>
  <si>
    <t>วิชาที่ 22</t>
  </si>
  <si>
    <t>วิชาที่ 23</t>
  </si>
  <si>
    <t>วิชาที่ 24</t>
  </si>
  <si>
    <t>วิชาที่ 25</t>
  </si>
  <si>
    <t>วิชาที่ 26</t>
  </si>
  <si>
    <t>วิชาที่ 27</t>
  </si>
  <si>
    <t>วิชาที่ 28</t>
  </si>
  <si>
    <t>วิชาที่ 29</t>
  </si>
  <si>
    <t>วิชาที่ 30</t>
  </si>
  <si>
    <t>2) หมวดวิชาศึกษาทั่วไป (ภาคปฏิบัติ)</t>
  </si>
  <si>
    <t>3) หมวดวิชาแกน/เอก/โท/เอกเลือก/เลือกเสรี (ภาคบรรยาย)</t>
  </si>
  <si>
    <t>คม100</t>
  </si>
  <si>
    <t>4) หมวดวิชาแกน/เอก/โท/เอกเลือก/เลือกเสรี (ภาคปฏิบัติ)</t>
  </si>
  <si>
    <t>การสอนบรรยายและคุมปฏิบัติการ ระดับบัณฑิตศึกษา</t>
  </si>
  <si>
    <t>1) ภาคบรรยาย</t>
  </si>
  <si>
    <t>พร520</t>
  </si>
  <si>
    <t>2) ภาคปฏิบัติ</t>
  </si>
  <si>
    <t xml:space="preserve">สอนหลักสูตรโครงการพิเศษ </t>
  </si>
  <si>
    <t>ชื่อโครงการ</t>
  </si>
  <si>
    <t>สอนเป็นภาษาอังกฤษ (ยกเว้นรายวิชาที่สอนเกี่ยวกับภาษาอังกฤษ และรายวิชาที่อยู่ในหลักสูตร 2 ภาษา และนานาชาติ)</t>
  </si>
  <si>
    <t>กรณีเดินทางไปสอนต่างวิทยาเขต</t>
  </si>
  <si>
    <t>ชม.ทำงานจริงที่</t>
  </si>
  <si>
    <t>ทำงานเป็นผู้ประสานงาน/</t>
  </si>
  <si>
    <t>จำนวนสถาน</t>
  </si>
  <si>
    <t>ประกอบการ</t>
  </si>
  <si>
    <t>อาจารย์ที่ปรึกษา</t>
  </si>
  <si>
    <t>กรรมการที่ปรึกษา</t>
  </si>
  <si>
    <t>ผู้ประสานงานรายวิชา</t>
  </si>
  <si>
    <t>นิเทศฝึกงานในวิชาเรียนรู้อิสระ (ถ้ามี)</t>
  </si>
  <si>
    <t>อาจารย์ที่ปรึกษาวิชาสัมมนา</t>
  </si>
  <si>
    <t>กรรมการสอบ</t>
  </si>
  <si>
    <t>ประธานที่ปรึกษา</t>
  </si>
  <si>
    <t xml:space="preserve">อาจารย์นิเทศสหกิจศึกษา      </t>
  </si>
  <si>
    <t>อาจารย์นิเทศนศ.ฝึกงาน</t>
  </si>
  <si>
    <t>ผู้ประสานงานรายวิชา/กรรมการประสานงาน</t>
  </si>
  <si>
    <t>ภาระงานดุษฎีนิพนธ์/ วิทยานิพนธ์/ สารนิพนธ์</t>
  </si>
  <si>
    <t>ภาระงานดุษฎีนิพนธ์</t>
  </si>
  <si>
    <t xml:space="preserve">ประธานที่ปรึกษาดุษฎีนิพนธ์  </t>
  </si>
  <si>
    <t>กรรมการที่ปรึกษาดุษฎีนิพนธ์</t>
  </si>
  <si>
    <t>ภาระงานวิทยานิพนธ์</t>
  </si>
  <si>
    <t xml:space="preserve">ประธานที่ปรึกษาวิทยานิพนธ์ </t>
  </si>
  <si>
    <t xml:space="preserve">กรรมการที่ปรึกษาวิทยานิพนธ์   </t>
  </si>
  <si>
    <t>ภาระงานสารนิพนธ์ (สำหรับปริญญาโท)</t>
  </si>
  <si>
    <t xml:space="preserve">ประธานที่ปรึกษาสารนิพนธ์ </t>
  </si>
  <si>
    <t xml:space="preserve">กรรมการที่ปรึกษาสารนิพนธ์ </t>
  </si>
  <si>
    <t>กรรมการสอบ (กรณีที่ไม่ใช่ประธานกรรมการและกรรมการที่ปรึกษา และเป็นการสอบภายในมหาวิทยาลัย)</t>
  </si>
  <si>
    <t>กก.สอบประมวลความรู้ (ป.เอก/ป.โท)</t>
  </si>
  <si>
    <t>กก.สอบวัดคุณสมบัติ ป.เอก</t>
  </si>
  <si>
    <r>
      <t xml:space="preserve">ตำรา-หนังสือ </t>
    </r>
    <r>
      <rPr>
        <b/>
        <sz val="11"/>
        <color rgb="FFFF0000"/>
        <rFont val="Arial"/>
        <family val="2"/>
      </rPr>
      <t>(ต้องผ่านการประเมินจากผู้ทรงคุณวุฒิ สามารถนำมาคิดภาระงานได้ 3 ปี จากวันที่ทราบผลการประเมิน)</t>
    </r>
  </si>
  <si>
    <t>วันที่ทราบ</t>
  </si>
  <si>
    <t>คำนวณระยะ</t>
  </si>
  <si>
    <t>ชื่อตำรา-หนังสือ/รายละเอียด</t>
  </si>
  <si>
    <t>ผลการประเมิน</t>
  </si>
  <si>
    <t>เวลาที่สามารถนำ</t>
  </si>
  <si>
    <t>ผลงานมานับได้</t>
  </si>
  <si>
    <t>การวางแผนและควบคุมการผลิต</t>
  </si>
  <si>
    <t>เล่มที่ 1</t>
  </si>
  <si>
    <t>เล่มที่ 2</t>
  </si>
  <si>
    <t>เล่มที่ 3</t>
  </si>
  <si>
    <t>เล่มที่ 4</t>
  </si>
  <si>
    <t>เล่มที่ 5</t>
  </si>
  <si>
    <t>สัดส่วน(%)</t>
  </si>
  <si>
    <t>การประเมินจาก</t>
  </si>
  <si>
    <t>รายละเอียด</t>
  </si>
  <si>
    <t>การมีส่วนร่วม</t>
  </si>
  <si>
    <t>คณะอนุกรรมการ</t>
  </si>
  <si>
    <t>ในการจัดทำ</t>
  </si>
  <si>
    <t>(กรุณาเลือก)</t>
  </si>
  <si>
    <t>เศรษฐศาสตร์การศึกษา</t>
  </si>
  <si>
    <t>คู่มือต่างๆ/Monograph</t>
  </si>
  <si>
    <t>จำนวนหน้า</t>
  </si>
  <si>
    <t>Virtual classroom / สื่อการเรียนการสอนออนไลน์ / พัฒนาซอฟท์แวร์ช่วยสอน</t>
  </si>
  <si>
    <t>ของผลงานครบ</t>
  </si>
  <si>
    <t>ตามบทเรียนในรายวิชาที่สอน</t>
  </si>
  <si>
    <t>ลำดับที่ 1</t>
  </si>
  <si>
    <t>ลำดับที่ 2</t>
  </si>
  <si>
    <t>ลำดับที่ 3</t>
  </si>
  <si>
    <t>ลำดับที่ 4</t>
  </si>
  <si>
    <t>ลำดับที่ 5</t>
  </si>
  <si>
    <t>ลำดับที่ 6</t>
  </si>
  <si>
    <t>ลำดับที่ 7</t>
  </si>
  <si>
    <t>ลำดับที่ 8</t>
  </si>
  <si>
    <t>ชื่องานวิจัย</t>
  </si>
  <si>
    <t>สัดส่วนงาน</t>
  </si>
  <si>
    <t>ผู้วิจัย</t>
  </si>
  <si>
    <t xml:space="preserve"> (%)</t>
  </si>
  <si>
    <r>
      <rPr>
        <b/>
        <sz val="10"/>
        <color indexed="10"/>
        <rFont val="Arial"/>
        <family val="2"/>
      </rPr>
      <t>*หมายเหตุ</t>
    </r>
    <r>
      <rPr>
        <sz val="10"/>
        <color indexed="10"/>
        <rFont val="Arial"/>
        <family val="2"/>
      </rPr>
      <t xml:space="preserve"> การวิจัยในชั้นเรียนจัดอยู่ในภาระงานสอน เพราะตามความหมาย หมายถึง การวิจัยที่มุ่งนำผลมาใช้ในการแก้ปัญหาการเรียนการสอนที่เกิดขึ้นในชั้นเรียน  </t>
    </r>
  </si>
  <si>
    <t xml:space="preserve">  หรือการใช้พัฒนาการเรียนการสอน</t>
  </si>
  <si>
    <t xml:space="preserve">        </t>
  </si>
  <si>
    <t>งานคุมสอบตามคำสั่งแต่งตั้งของมหาวิทยาลัย</t>
  </si>
  <si>
    <t>จำนวนชั่วโมง</t>
  </si>
  <si>
    <t>คุมสอบ</t>
  </si>
  <si>
    <r>
      <t xml:space="preserve">งานคุมสอบตามคำสั่งแต่งตั้งของมหาวิทยาลัย  </t>
    </r>
    <r>
      <rPr>
        <sz val="10"/>
        <color indexed="53"/>
        <rFont val="Arial"/>
        <family val="2"/>
      </rPr>
      <t>(ไม่คิดภาระงานในวิชาที่ตนเองเป็นผู้สอน)</t>
    </r>
  </si>
  <si>
    <t>ผู้รับผิดชอบโครงการเสริมทักษะการเรียนการสอน (ซึ่งไม่อยู่ในรายวิชา และต้องได้รับการเสนอผ่านคณะ) เช่น ทัศนศึกษานอกสถานที่ อบรมความรู้ทางวิชาการ เป็นต้น</t>
  </si>
  <si>
    <t>กรรมการ</t>
  </si>
  <si>
    <t>ทำการ/สัปดาห์</t>
  </si>
  <si>
    <t>- การเตรียมโครงการ</t>
  </si>
  <si>
    <t>จำนวนวัน</t>
  </si>
  <si>
    <t>- การดำเนินโครงการ</t>
  </si>
  <si>
    <t>รวมชั่วโมงภาระงานสอนอื่นๆ ทั้งหมด</t>
  </si>
  <si>
    <r>
      <t xml:space="preserve">เป็นผู้ประสานงานรายวิชา </t>
    </r>
    <r>
      <rPr>
        <b/>
        <sz val="11"/>
        <color rgb="FFFF0000"/>
        <rFont val="Arial"/>
        <family val="2"/>
      </rPr>
      <t>(ทั้งในรายวิชาที่</t>
    </r>
    <r>
      <rPr>
        <b/>
        <u/>
        <sz val="11"/>
        <color rgb="FFFF0000"/>
        <rFont val="Arial"/>
        <family val="2"/>
      </rPr>
      <t>เป็นอาจารย์ผู้สอน</t>
    </r>
    <r>
      <rPr>
        <b/>
        <sz val="11"/>
        <color rgb="FFFF0000"/>
        <rFont val="Arial"/>
        <family val="2"/>
      </rPr>
      <t xml:space="preserve"> และ</t>
    </r>
    <r>
      <rPr>
        <b/>
        <u/>
        <sz val="11"/>
        <color rgb="FFFF0000"/>
        <rFont val="Arial"/>
        <family val="2"/>
      </rPr>
      <t>ไม่ได้เป็นอาจารย์ผู้สอน</t>
    </r>
    <r>
      <rPr>
        <b/>
        <sz val="11"/>
        <color rgb="FFFF0000"/>
        <rFont val="Arial"/>
        <family val="2"/>
      </rPr>
      <t xml:space="preserve"> แต่ไม่ใช่วิชาโครงงาน/สัมมนา/ฝึกงาน)</t>
    </r>
  </si>
  <si>
    <r>
      <t>ส่วนที่ 2 การคำนวนภาระงานวิจัยและงานวิชาการอื่น</t>
    </r>
    <r>
      <rPr>
        <b/>
        <sz val="14"/>
        <color indexed="12"/>
        <rFont val="Arial"/>
        <family val="2"/>
      </rPr>
      <t xml:space="preserve">  </t>
    </r>
  </si>
  <si>
    <t>ภาระงานวิจัยและงานวิชาการอื่น  เชิงคุณภาพ</t>
  </si>
  <si>
    <r>
      <t xml:space="preserve">มีการเผยแพร่ผลงานวิจัย </t>
    </r>
    <r>
      <rPr>
        <sz val="10"/>
        <color rgb="FFC00000"/>
        <rFont val="Arial"/>
        <family val="2"/>
      </rPr>
      <t>(นับคะแนนตามจำนวนชิ้นงาน แต่กำหนดคะแนนสูงสุด คือ 5 คะแนน)</t>
    </r>
  </si>
  <si>
    <t xml:space="preserve">      ค่าน้ำหนัก 0.2   ได้ 1 คะแนน</t>
  </si>
  <si>
    <t xml:space="preserve">      ค่าน้ำหนัก 0.4   ได้ 2 คะแนน</t>
  </si>
  <si>
    <t xml:space="preserve">      ค่าน้ำหนัก 0.6   ได้ 3 คะแนน</t>
  </si>
  <si>
    <t xml:space="preserve">      ค่าน้ำหนัก 0.8   ได้ 4 คะแนน</t>
  </si>
  <si>
    <t xml:space="preserve">      ค่าน้ำหนัก 1.0   ได้ 5 คะแนน</t>
  </si>
  <si>
    <t xml:space="preserve"> รวมคะแนนภาระงานวิจัยและงานวิชาการอื่น เชิงคุณภาพ</t>
  </si>
  <si>
    <t>ภาระงานวิจัยและงานวิชาการอื่น  เชิงปริมาณ</t>
  </si>
  <si>
    <t xml:space="preserve">    1  งานวิจัยที่กำลังดำเนินงาน</t>
  </si>
  <si>
    <t xml:space="preserve">          1.1 งานวิจัยที่ได้รับทุน</t>
  </si>
  <si>
    <t>จำนวนผู้วิจัย</t>
  </si>
  <si>
    <t>รหัสโครงการวิจัย</t>
  </si>
  <si>
    <t>วันที่เริ่มทำสัญญา</t>
  </si>
  <si>
    <t>วันที่สิ้นสุดสัญญา</t>
  </si>
  <si>
    <t>URL เอกสารแนบ/หลักฐาน</t>
  </si>
  <si>
    <t>ปี</t>
  </si>
  <si>
    <t>(จากสำนักวิจัยฯ)</t>
  </si>
  <si>
    <t>งานวิจัยที่ 1</t>
  </si>
  <si>
    <t>งานวิจัยที่ 2</t>
  </si>
  <si>
    <t>งานวิจัยที่ 3</t>
  </si>
  <si>
    <t>งานวิจัยที่ 4</t>
  </si>
  <si>
    <t>งานวิจัยที่ 5</t>
  </si>
  <si>
    <t>งานวิจัยที่ 6</t>
  </si>
  <si>
    <t>งานวิจัยที่ 7</t>
  </si>
  <si>
    <t>งานวิจัยที่ 8</t>
  </si>
  <si>
    <t>งานวิจัยที่ 9</t>
  </si>
  <si>
    <t>งานวิจัยที่ 10</t>
  </si>
  <si>
    <t>งานวิจัยที่ 11</t>
  </si>
  <si>
    <t>งานวิจัยที่ 12</t>
  </si>
  <si>
    <t>งานวิจัยที่ 13</t>
  </si>
  <si>
    <t>งานวิจัยที่ 14</t>
  </si>
  <si>
    <t>งานวิจัยที่ 15</t>
  </si>
  <si>
    <t>โครงการวิจัยทางสังคมศาสตร์และมนุษยศาสตร์</t>
  </si>
  <si>
    <t>โครงการย่อย</t>
  </si>
  <si>
    <r>
      <t>ผู้บริหาร</t>
    </r>
    <r>
      <rPr>
        <b/>
        <u/>
        <sz val="10"/>
        <color rgb="FFFF0000"/>
        <rFont val="Arial"/>
        <family val="2"/>
      </rPr>
      <t>ชุด</t>
    </r>
    <r>
      <rPr>
        <b/>
        <u/>
        <sz val="10"/>
        <color indexed="12"/>
        <rFont val="Arial"/>
        <family val="2"/>
      </rPr>
      <t>โครงการวิจัย</t>
    </r>
  </si>
  <si>
    <t>ชุดโครงการที่ 1</t>
  </si>
  <si>
    <t>ชุดโครงการที่ 2</t>
  </si>
  <si>
    <t>ชุดโครงการที่ 3</t>
  </si>
  <si>
    <t>ชุดโครงการที่ 4</t>
  </si>
  <si>
    <t>ชุดโครงการที่ 5</t>
  </si>
  <si>
    <t>รวมจำนวนภาระงานวิจัยที่ได้รับทุนทั้งหมด</t>
  </si>
  <si>
    <t>วันที่คณะอนุมัติ/รับทราบ</t>
  </si>
  <si>
    <t>(%)</t>
  </si>
  <si>
    <t xml:space="preserve">    2  ผลงานทางวิชาการ</t>
  </si>
  <si>
    <t xml:space="preserve">          2.1 ผลงานวิจัยที่ตีพิมพ์ / บทความวิจัยที่ตีพิมพ์ (Publications) รวมผลงานวิจัยที่ทำร่วมกับนักศึกษา ในวารสารวิชาการ</t>
  </si>
  <si>
    <t>ชื่อเรื่อง</t>
  </si>
  <si>
    <t>ระดับวารสาร</t>
  </si>
  <si>
    <t>ค่าถ่วงน้ำหนัก</t>
  </si>
  <si>
    <t>ระดับคุณภาพของผลงานทางวิชาการ</t>
  </si>
  <si>
    <t>รายละเอียดวารสาร</t>
  </si>
  <si>
    <t>วันที่ตีพิมพ์/</t>
  </si>
  <si>
    <t>ลักษณะการมีส่วนร่วมของผลงาน</t>
  </si>
  <si>
    <t>ที่ตีพิมพ์</t>
  </si>
  <si>
    <t>(เลือกข้อมูล)</t>
  </si>
  <si>
    <t>(ชื่อวารสาร ปีที่พิมพ์ ฉบับที หน้าที่)</t>
  </si>
  <si>
    <t>เผยแพร่ผลงาน</t>
  </si>
  <si>
    <t>ชื่อแรก</t>
  </si>
  <si>
    <t>หัวหน้า</t>
  </si>
  <si>
    <t>Corresponding</t>
  </si>
  <si>
    <t>โครงการ</t>
  </si>
  <si>
    <t>Author</t>
  </si>
  <si>
    <t>บทความ...............</t>
  </si>
  <si>
    <t>Archives Des Sciences, Vol 65, No.12;Dec 2012</t>
  </si>
  <si>
    <t>ผศ./รศ.</t>
  </si>
  <si>
    <t>ศ.</t>
  </si>
  <si>
    <t>ผลงานที่ 1</t>
  </si>
  <si>
    <t>ผลงานที่ 2</t>
  </si>
  <si>
    <t>ผลงานที่ 3</t>
  </si>
  <si>
    <t>ผลงานที่ 4</t>
  </si>
  <si>
    <t>ผลงานที่ 5</t>
  </si>
  <si>
    <t>ผลงานที่ 6</t>
  </si>
  <si>
    <t>ผลงานที่ 7</t>
  </si>
  <si>
    <t>ผลงานที่ 8</t>
  </si>
  <si>
    <t>ผลงานที่ 9</t>
  </si>
  <si>
    <t>ผลงานที่ 10</t>
  </si>
  <si>
    <t>ผลงานที่ 11</t>
  </si>
  <si>
    <t>ผลงานที่ 12</t>
  </si>
  <si>
    <t>ผลงานที่ 13</t>
  </si>
  <si>
    <t>ผลงานที่ 14</t>
  </si>
  <si>
    <t>ผลงานที่ 15</t>
  </si>
  <si>
    <t>ผลงานที่ 16</t>
  </si>
  <si>
    <t>ผลงานที่ 17</t>
  </si>
  <si>
    <t>ผลงานที่ 18</t>
  </si>
  <si>
    <t>ผลงานที่ 19</t>
  </si>
  <si>
    <t>ผลงานที่ 20</t>
  </si>
  <si>
    <t>รวมจำนวนภาระงานผลงานที่ตีพิมพ์/บทความวิจัยที่ตีพิมพ์ ทั้งหมด</t>
  </si>
  <si>
    <t xml:space="preserve">          2.2 ผลงานวิจัยที่นำเสนอในที่ประชุมวิชาการ (Proceedings)</t>
  </si>
  <si>
    <t>ภาระงานเชิงคุณภาพ</t>
  </si>
  <si>
    <t>ชื่อผลงาน</t>
  </si>
  <si>
    <t>ประเภท</t>
  </si>
  <si>
    <t>ระดับการ</t>
  </si>
  <si>
    <t>ชื่อการประชุม</t>
  </si>
  <si>
    <t>วันที่นำเสนอ</t>
  </si>
  <si>
    <t>ผลงาน</t>
  </si>
  <si>
    <t>นำเสนอ</t>
  </si>
  <si>
    <t>ผลงาน....................</t>
  </si>
  <si>
    <t>ประชุมวิชาการมหาวิทยาลัยเกษตรศาสตร์ ครั้งที่ 54</t>
  </si>
  <si>
    <t>รวมจำนวนภาระงานผลงานวิจัยที่นำเสนอในที่ประชุมวิชาการ (Preceeding) ทั้งหมด</t>
  </si>
  <si>
    <t xml:space="preserve">         2.3 บทความวิชาการ (academic paper) </t>
  </si>
  <si>
    <t>ชื่อบทความ</t>
  </si>
  <si>
    <t>ชื่อวารสาร</t>
  </si>
  <si>
    <t>วันที่ตีพิมพ์</t>
  </si>
  <si>
    <t>ผศ.</t>
  </si>
  <si>
    <t>รวมจำนวนภาระงานบทความวิชาการ ทั้งหมด</t>
  </si>
  <si>
    <t xml:space="preserve">         2.4 บทความปริทัศน์ (reviewed article)</t>
  </si>
  <si>
    <t>รวมจำนวนภาระงานบทความปริทัศน์ ทั้งหมด</t>
  </si>
  <si>
    <t xml:space="preserve">         2.5 บทความทั่วไป</t>
  </si>
  <si>
    <t>รวมจำนวนภาระงานบทความทั่วไป ทั้งหมด</t>
  </si>
  <si>
    <t xml:space="preserve">         2.6 อนุสิทธิบัตร/สิทธิบัตร</t>
  </si>
  <si>
    <t>ชื่ออนุสิทธิบัตร/สิทธิบัตร</t>
  </si>
  <si>
    <t>รวมจำนวนภาระงานอนุสิทธิบัตร/สิทธิบัตร ทั้งหมด</t>
  </si>
  <si>
    <t xml:space="preserve">         2.7 ลิขสิทธิ์</t>
  </si>
  <si>
    <t>จำนวนผลงาน</t>
  </si>
  <si>
    <t>หมายเลขอ้างอิง</t>
  </si>
  <si>
    <t xml:space="preserve"> (ชิ้น)</t>
  </si>
  <si>
    <t>ภาพถ่าย</t>
  </si>
  <si>
    <t>สิ่งพิมพ์ (แผ่นพับ/โปสเตอร์)</t>
  </si>
  <si>
    <t>สิ่งเขียน (บทความ)</t>
  </si>
  <si>
    <t>โสตทัศนวัสดุ/สื่อมัลติมีเดียอื่นๆ</t>
  </si>
  <si>
    <t>โปรแกรมคอมพิวเตอร์</t>
  </si>
  <si>
    <t>หนังสือ</t>
  </si>
  <si>
    <t>รวมจำนวนภาระงานลิขสิทธิ์ ทั้งหมด</t>
  </si>
  <si>
    <t>(วว/ดด/ปี พ.ศ)</t>
  </si>
  <si>
    <t>1. ภาระงานบริหาร</t>
  </si>
  <si>
    <t>2. ภาระงานตามพันธกิจ</t>
  </si>
  <si>
    <t>ส่วนที่ 3 การคำนวนภาระงานบริการวิชาการ</t>
  </si>
  <si>
    <t>ภาระงานบริการวิชาการ เชิงคุณภาพ</t>
  </si>
  <si>
    <t xml:space="preserve"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และผ่านความเห็นชอบของหน่วยงานต้นสังกัดโดยมีหลักฐานแนบ </t>
  </si>
  <si>
    <r>
      <t xml:space="preserve">มีการบูรณาการงานบริการวิชาการกับการเรียนการสอน เช่น การถ่ายทอดประสบการณ์จากการบริการวิชาการในชั้นเรียน โดยให้เขียนอธิบายและมีหลักฐานแนบ </t>
    </r>
    <r>
      <rPr>
        <b/>
        <u/>
        <sz val="10"/>
        <rFont val="Arial"/>
        <family val="2"/>
      </rPr>
      <t>หรือ</t>
    </r>
    <r>
      <rPr>
        <sz val="10"/>
        <rFont val="Arial"/>
        <family val="2"/>
      </rPr>
      <t xml:space="preserve">
</t>
    </r>
  </si>
  <si>
    <t>มีการบูรณาการงานบริการวิชาการกับงานวิจัย  เช่น พัฒนาข้อเสนอโครงการวิจัยจากความต้องการของชุมชนสังคม โดยให้เขียนอธิบายและมีหลักฐานแนบ</t>
  </si>
  <si>
    <t>ภาระงานบริการวิชาการ เชิงปริมาณ</t>
  </si>
  <si>
    <t xml:space="preserve">    1  ผลงานวิชาการรับใช้สังคม (ที่ได้รับการเผยแพร่ตามเกณฑ์ที่ ก.พ.อ. กำหนด)</t>
  </si>
  <si>
    <t xml:space="preserve">    2  การเป็นวิทยากร  (แนบเอกสารอ้างอิง)</t>
  </si>
  <si>
    <t>ชื่อหัวข้อบรรยาย</t>
  </si>
  <si>
    <t>จำนวนครั้ง</t>
  </si>
  <si>
    <t>โครงการที่ 1</t>
  </si>
  <si>
    <t>โครงการที่ 2</t>
  </si>
  <si>
    <t>โครงการที่ 3</t>
  </si>
  <si>
    <t>โครงการที่ 4</t>
  </si>
  <si>
    <t>โครงการที่ 5</t>
  </si>
  <si>
    <t xml:space="preserve">    3  การเป็นผู้ช่วยวิทยากร (แนบเอกสารอ้างอิง)</t>
  </si>
  <si>
    <t xml:space="preserve">    4  การเป็นกรรมการที่แต่งตั้งโดยหน่วยงานภายนอกมหาวิทยาลัย </t>
  </si>
  <si>
    <t>ชื่อคณะกรรมการ</t>
  </si>
  <si>
    <t>วันที่ประชุม</t>
  </si>
  <si>
    <t>ประชุม</t>
  </si>
  <si>
    <t>ลำดับที่ 9</t>
  </si>
  <si>
    <t>ลำดับที่ 10</t>
  </si>
  <si>
    <t xml:space="preserve">    5  การเป็นกรรมการสอบดุษฎีนิพนธ์/วิทยานิพนธ์ ให้หน่วยงานภายนอก</t>
  </si>
  <si>
    <t>วันที่ปฏิบัติงาน</t>
  </si>
  <si>
    <t>ทำงาน</t>
  </si>
  <si>
    <t>ชื่อภารกิจ</t>
  </si>
  <si>
    <t>ครั้งที่ 1</t>
  </si>
  <si>
    <t>ครั้งที่ 2</t>
  </si>
  <si>
    <t>ครั้งที่ 3</t>
  </si>
  <si>
    <t>ครั้งที่ 4</t>
  </si>
  <si>
    <t>ครั้งที่ 5</t>
  </si>
  <si>
    <t xml:space="preserve">    7  อาจารย์พี่เลี้ยง (mentor) เช่น อาจารย์พี่เลี้ยงด้านโครงการวิจัย ที่ปรึกษาโครงการวิจัย ที่ปรึกษาโครงการพัฒนา
        และพี่เลี้ยงบุคลากรใหม่ในช่วงทดลองการปฏิบัติงาน หรือโครงการพัฒนาอื่น ๆ</t>
  </si>
  <si>
    <t>ชื่อโครงการ/บุคคล</t>
  </si>
  <si>
    <t xml:space="preserve">    8  ที่ปรึกษาผลงานวิชาการ</t>
  </si>
  <si>
    <t xml:space="preserve">    9  พิจารณาบทความ</t>
  </si>
  <si>
    <t xml:space="preserve">          9.1 นำเสนอในที่ประชุมวิชาการ (Proceedings)</t>
  </si>
  <si>
    <t>ระดับการนำเสนอ</t>
  </si>
  <si>
    <t>จำนวนบทความ</t>
  </si>
  <si>
    <t xml:space="preserve">          9.2 วารสาร</t>
  </si>
  <si>
    <t>ระดับการตีพิมพ์</t>
  </si>
  <si>
    <t>ในวารสาร</t>
  </si>
  <si>
    <t>ลำดับที่ 11</t>
  </si>
  <si>
    <t>ลำดับที่ 12</t>
  </si>
  <si>
    <t>ลำดับที่ 13</t>
  </si>
  <si>
    <t>ลำดับที่ 14</t>
  </si>
  <si>
    <t>ลำดับที่ 15</t>
  </si>
  <si>
    <t>ลำดับที่ 16</t>
  </si>
  <si>
    <t>ลำดับที่ 17</t>
  </si>
  <si>
    <t>ลำดับที่ 18</t>
  </si>
  <si>
    <t>ลำดับที่ 19</t>
  </si>
  <si>
    <t>ลำดับที่ 20</t>
  </si>
  <si>
    <t>รวมจำนวนชั่วโมงการพิจารณาบทความ</t>
  </si>
  <si>
    <t xml:space="preserve">    10  พิจารณารายงานวิจัยฉบับสมบรูณ์ </t>
  </si>
  <si>
    <t>ชื่อหน่วยงาน/แหล่งทุน</t>
  </si>
  <si>
    <t xml:space="preserve">    11  พิจารณาข้อเสนอโครงการวิจัย</t>
  </si>
  <si>
    <t xml:space="preserve">    12  พิจารณาผลงานทางวิชาการ/พิจารณาผลงานครู คศ.3</t>
  </si>
  <si>
    <t>ชื่อหน่วยงาน</t>
  </si>
  <si>
    <t>เพื่อประเมิน</t>
  </si>
  <si>
    <t>จำนวนบุคคล</t>
  </si>
  <si>
    <t>ตน.ทางวิชาการ</t>
  </si>
  <si>
    <t>ที่พิจารณา</t>
  </si>
  <si>
    <t xml:space="preserve">    13  จัดทำบทวิทยุ</t>
  </si>
  <si>
    <t xml:space="preserve">    14  จัดรายการวิทยุ/โทรทัศน์ การจัดทำสื่อ</t>
  </si>
  <si>
    <t>ชื่อรายการวิทยุ/โทรทัศน์/สื่อ</t>
  </si>
  <si>
    <t>ที่จัดรายการ</t>
  </si>
  <si>
    <t>*หมายเหตุ คิดภาระงานเท่ากับจำนวนชั่วโมงที่จัดรายการ แต่ไม่เกิน 3 ชั่วโมงทำการ/ภาคการศึกษา</t>
  </si>
  <si>
    <t xml:space="preserve">    15  จัดทำวารสารทางวิชาการ (บก./กอง บก.)</t>
  </si>
  <si>
    <t xml:space="preserve">    16  จัดทำเอกสารแปล/งานแปล</t>
  </si>
  <si>
    <t>ชื่อเอกสารแปล/งานแปล</t>
  </si>
  <si>
    <t xml:space="preserve">    17  เขียนบทความทางวิชาการ (ใช้เฉพาะในการบริการวิชาการในแต่ละครั้ง)</t>
  </si>
  <si>
    <t>ลงสื่อ</t>
  </si>
  <si>
    <t xml:space="preserve">    18 จัดทำเอกสารเผยแพร่ความรู้ทางวิชาการ</t>
  </si>
  <si>
    <t xml:space="preserve">    19  การจัดฝึกอบรม สัมมนา ฯ</t>
  </si>
  <si>
    <t>ระดับของ</t>
  </si>
  <si>
    <t>จำนวนกรรมการ</t>
  </si>
  <si>
    <t>การจัดฝึกอบรม</t>
  </si>
  <si>
    <t>- เตรียมโครงการ</t>
  </si>
  <si>
    <t>อบรม/</t>
  </si>
  <si>
    <t>สัมมนาจริง</t>
  </si>
  <si>
    <t>- สัมมนาจริง</t>
  </si>
  <si>
    <t>รวมจำนวนชั่วโมงการจัดฝึกอบรม สัมมนา ฯ</t>
  </si>
  <si>
    <t xml:space="preserve">    20  การจัดประชุมวิชาการ ฯ </t>
  </si>
  <si>
    <t>การจัดประชุม</t>
  </si>
  <si>
    <t xml:space="preserve">รวมจำนวนชั่วโมงการจัดประชุมวิชาการ ฯ </t>
  </si>
  <si>
    <t xml:space="preserve">    21  ที่ปรึกษาหน่วยงานของรัฐ/ กลุ่ม ชุมชนท้องถิ่น  (ไม่เกิน 2 หน่วยงาน)</t>
  </si>
  <si>
    <t>หน่วยงาน</t>
  </si>
  <si>
    <t xml:space="preserve">    22  งานวิเคราะห์ ทดสอบ ฯ  (กรณีไม่ได้รับค่าตอบแทน)</t>
  </si>
  <si>
    <t>ชื่องาน</t>
  </si>
  <si>
    <t>ทำงานจริง</t>
  </si>
  <si>
    <t>ชื่อโครงการ/หัวข้อ</t>
  </si>
  <si>
    <t xml:space="preserve">    24  การให้บริการทางวิชาการอื่นๆ เช่น การเยี่ยมชมฐานเรียนรู้ โดยมีหลักฐานอื่นๆ เช่น สมุดเยี่ยมชม เป็นต้น</t>
  </si>
  <si>
    <t>ชื่อหัวข้อ</t>
  </si>
  <si>
    <t xml:space="preserve">    25  การให้บริการวิชาการที่ทำในลักษณะ Consultant</t>
  </si>
  <si>
    <t xml:space="preserve">          25.1 มีลักษณะเหมือนงานวิจัย และระบุจำนวนเงิน</t>
  </si>
  <si>
    <t>โครงการบริการวิชาการ ทางวิทยาศาสตร์เทคโนโลยีและวิทยาศาสตร์สุขภาพ</t>
  </si>
  <si>
    <t>โครงการบริการวิชาการ ทางสังคมศาสตร์</t>
  </si>
  <si>
    <t xml:space="preserve">          25.2 ที่ปรึกษาอื่นๆ และไม่ระบุจำนวนเงิน</t>
  </si>
  <si>
    <t xml:space="preserve">รวมจำนวนชั่วโมงการให้บริการวิชาการที่ทำในลักษณะ Consultant (มีลักษณะเหมือนงานวิจัย) </t>
  </si>
  <si>
    <t xml:space="preserve">    26  การออกให้บริการชุมชน พัฒนาชุมชน</t>
  </si>
  <si>
    <t>ปฏิบัติงาน</t>
  </si>
  <si>
    <t xml:space="preserve">    27  ผลงานที่ได้นำไปใช้ประโยชน์ต่อชุมชน (มีหลักฐานการใช้ประโยชน์จากชุมชน)</t>
  </si>
  <si>
    <t xml:space="preserve">    28  การเป็นอาจารย์พิเศษมหาวิทยาลัยอื่นๆ </t>
  </si>
  <si>
    <t>ชื่อวิชา/มหาวิทยาลัย</t>
  </si>
  <si>
    <t>สอน</t>
  </si>
  <si>
    <t>วันที่เริ่มปฏิบัติงาน</t>
  </si>
  <si>
    <t>วันที่สิ้นสุด</t>
  </si>
  <si>
    <t>วันที่เริ่มบรรยาย</t>
  </si>
  <si>
    <t>วันที่สิ้นสุดการ</t>
  </si>
  <si>
    <t>นำเสนอผลงาน</t>
  </si>
  <si>
    <t xml:space="preserve">    6  การไปปฎิบัติงานตามคำเชิญของหน่วยงานภายนอก (เช่น การตรวจสอบ/ประเมินให้กับหน่วยงานภายนอกคณะ/ม./วิพากษ์หลักสูตร/
        ประธานในที่ประชุมวิชาการ)</t>
  </si>
  <si>
    <t>ส่วนที่ 4 การคำนวนภาระงานทำนุบำรุงศิลปวัฒนธรรม</t>
  </si>
  <si>
    <t xml:space="preserve">กิจกรรมทำนุบำรุงศิลปะวัฒนธรรมที่จัดโดยคณะ/มหาวิทยาลัย เช่น การแต่งกายพื้นเมืองทุกวันศุกร์ พิธีไหว้ครู รดน้ำดำหัว ทอดผ้าป่า แห่เทียนพรรษา พิธีเกษียณอายุ การเข้าร่วมงานพระราชพิธีต่างๆ เป็นต้น หรือเป็นกิจกรรมทางศาสนาอื่นๆ เช่น การเข้าโบสถ์  การถือศีลอด การตักบาตร เป็นต้น ที่ได้เข้าร่วม โดยไม่จำเป็นต้องมีหลักฐานใดๆ แต่ขอให้เป็นการปฏิบัติจริง </t>
  </si>
  <si>
    <t>ข้อ</t>
  </si>
  <si>
    <t>ชือโครงการ</t>
  </si>
  <si>
    <t>โครงการที่ 6</t>
  </si>
  <si>
    <t>โครงการที่ 7</t>
  </si>
  <si>
    <t>โครงการที่ 8</t>
  </si>
  <si>
    <t>โครงการที่ 9</t>
  </si>
  <si>
    <t>โครงการที่ 10</t>
  </si>
  <si>
    <t>ชื่อกิจกรรม</t>
  </si>
  <si>
    <t>กิจกรรมที่ 1</t>
  </si>
  <si>
    <t>กิจกรรมที่ 2</t>
  </si>
  <si>
    <t>กิจกรรมที่ 3</t>
  </si>
  <si>
    <t>กิจกรรมที่ 4</t>
  </si>
  <si>
    <t>กิจกรรมที่ 5</t>
  </si>
  <si>
    <t>กิจกรรมที่ 6</t>
  </si>
  <si>
    <t>กิจกรรมที่ 7</t>
  </si>
  <si>
    <t>กิจกรรมที่ 8</t>
  </si>
  <si>
    <t>กิจกรรมที่ 9</t>
  </si>
  <si>
    <t>กิจกรรมที่ 10</t>
  </si>
  <si>
    <t>ชื่อชมรม/หอพัก</t>
  </si>
  <si>
    <t>(มีนักศึกษามากกว่าหรือเท่ากับ 1 คน ให้ 15 ชั่วโมงทำการต่อภาคการศึกษา)</t>
  </si>
  <si>
    <t>ชั่วโมงประชุม</t>
  </si>
  <si>
    <t>จริง</t>
  </si>
  <si>
    <t>ประชุมในวิทยาเขต</t>
  </si>
  <si>
    <t>คณะกรรมการที่ 1</t>
  </si>
  <si>
    <t>คณะกรรมการที่ 2</t>
  </si>
  <si>
    <t>คณะกรรมการที่ 3</t>
  </si>
  <si>
    <t>คณะกรรมการที่ 4</t>
  </si>
  <si>
    <t>คณะกรรมการที่ 5</t>
  </si>
  <si>
    <t>คณะกรรมการที่ 6</t>
  </si>
  <si>
    <t>คณะกรรมการที่ 7</t>
  </si>
  <si>
    <t>คณะกรรมการที่ 8</t>
  </si>
  <si>
    <t>คณะกรรมการที่ 9</t>
  </si>
  <si>
    <t>คณะกรรมการที่ 10</t>
  </si>
  <si>
    <t>คณะกรรมการที่ 11</t>
  </si>
  <si>
    <t>คณะกรรมการที่ 12</t>
  </si>
  <si>
    <t>คณะกรรมการที่ 13</t>
  </si>
  <si>
    <t>คณะกรรมการที่ 14</t>
  </si>
  <si>
    <t>คณะกรรมการที่ 15</t>
  </si>
  <si>
    <t>คณะกรรมการที่ 16</t>
  </si>
  <si>
    <t>คณะกรรมการที่ 17</t>
  </si>
  <si>
    <t>คณะกรรมการที่ 18</t>
  </si>
  <si>
    <t>คณะกรรมการที่ 19</t>
  </si>
  <si>
    <t>คณะกรรมการที่ 20</t>
  </si>
  <si>
    <t>ประชุมต่างวิทยาเขต</t>
  </si>
  <si>
    <t>รวมจำนวนชั่วโมงประชุมคณะกรรมการที่หน่วยงานภายในแต่งตั้ง</t>
  </si>
  <si>
    <t>จำนวนครั้ง/</t>
  </si>
  <si>
    <t>จำนวนโครงการ</t>
  </si>
  <si>
    <t>จัดโครงการ/กิจกรรมสมรรถนะ</t>
  </si>
  <si>
    <t>เข้าร่วมโครงการ/กิจกรรมสมรรถนะ</t>
  </si>
  <si>
    <t>รวมจำนวนชั่วโมงการจัดทำโครงการที่เกี่ยวข้องกับสมรรถนะตามที่มหาวิทยาลัย/คณะ กำหนด</t>
  </si>
  <si>
    <t>ชั่วโมงทำงาน</t>
  </si>
  <si>
    <t>การมีส่วนร่วมในงานประกันคุณภาพหลักสูตร</t>
  </si>
  <si>
    <t>คำอธิบาย</t>
  </si>
  <si>
    <t>มีส่วนร่วม/</t>
  </si>
  <si>
    <t>ไม่มีส่วนร่วม</t>
  </si>
  <si>
    <t>องค์ประกอบที่ 1</t>
  </si>
  <si>
    <t>การกำกับมาตรฐาน</t>
  </si>
  <si>
    <t>องค์ประกอบที่ 2</t>
  </si>
  <si>
    <t>บัณฑิต</t>
  </si>
  <si>
    <t>องค์ประกอบที่ 3</t>
  </si>
  <si>
    <t>องค์ประกอบที่ 4</t>
  </si>
  <si>
    <t>องค์ประกอบที่ 5</t>
  </si>
  <si>
    <t>หลักสูตรการเรียนการสอน การประเมินผู้เรียน</t>
  </si>
  <si>
    <t>องค์ประกอบที่ 6</t>
  </si>
  <si>
    <t>สิ่งสนับสนุนการเรียนรู้</t>
  </si>
  <si>
    <t>การเขียนรายงาน</t>
  </si>
  <si>
    <t>เขียนรายงานตามรูปแบบที่กำหนด</t>
  </si>
  <si>
    <t>1) งานวิจัยที่ได้รับการเผยแพร่ตามเกณฑ์ที่ ก.พ.อ. กำหนด หรือ</t>
  </si>
  <si>
    <t>1) งานวิจัยที่ได้รับการเผยแพร่ในระดับนานาชาติ ตามเกณฑ์ที่ ก.พ.อ. กำหนด หรือ</t>
  </si>
  <si>
    <t>2) ตำรา หรือหนังสือที่ได้รับการเผยแพร่ตามเกณฑ์ที่ ก.พ.อ. กำหนด หรือ</t>
  </si>
  <si>
    <t>3) ผลงานทางวิชาการในลักษณะอื่นที่เทียบได้กับงานวิจัยตาม 1) หรือ</t>
  </si>
  <si>
    <t>4) บทความทางวิชาการ หรือ</t>
  </si>
  <si>
    <t>4) ผลงานวิชาการรับใช้สังคมที่ได้รับการเผยแพร่ตามเกณฑ์ที่ ก.พ.อ. กำหนด</t>
  </si>
  <si>
    <t>4) ผลงานทางวิชาการในลักษณะอื่นที่เทียบได้กับงานวิจัยตาม 1)</t>
  </si>
  <si>
    <t>5) ผลงานวิชาการรับใช้สังคมที่ได้รับการเผยแพร่ตามเกณฑ์ที่ ก.พ.อ. กำหนด</t>
  </si>
  <si>
    <t>ตำแหน่งทางวิชาการ</t>
  </si>
  <si>
    <t>3) ผลงานวิชาการรับใช้สังคมที่ได้รับการเผยแพร่ตามเกณฑ์ที่ ก.พ.อ. กำหนด หรือ</t>
  </si>
  <si>
    <t>ผลงานวิชาการรับใช้สังคม (ที่ได้รับการเผยแพร่ตามเกณฑ์ที่ ก.พ.อ. กำหนด)</t>
  </si>
  <si>
    <t>29.</t>
  </si>
  <si>
    <t>ภาระงานของ</t>
  </si>
  <si>
    <t>ประจำ</t>
  </si>
  <si>
    <t>ตารางสรุปภาระงานของอาจารย์ประจำ*</t>
  </si>
  <si>
    <t>* ตามประกาศสภามหาวิทยาลัยแม่โจ้ เรื่อง การกำหนดกรอบภาระงานทางวิชาการของผู้ดำรงตำแหน่งอาจารย์ ผู้ช่วยศาสตราจารย์ รองศาสตราจารย์ และศาสตราจารย์ พ.ศ. 2560</t>
  </si>
  <si>
    <t>รวมจำนวนชั่วโมงทำการ/สัปดาห์</t>
  </si>
  <si>
    <t>ตารางสรุปภาระงานที่เป็นผลงานทางวิชาการของผู้ดำรงตำแหน่งทางวิชาการ**</t>
  </si>
  <si>
    <t>** ตามประกาศประกาศ ก.บ.ม. เรื่อง มาตรฐานผลงานทางวิชาการของผู้ดำรงตำแหน่งผู้ช่วยศาสตราจารย์ รองศาสตราจารย์ และศาสตราจารย์ (ประกาศ ณ วันที่ 31 ม.ค. 2560)</t>
  </si>
  <si>
    <t>การสร้างอัตลักษณ์บัณฑิต (นอกเหนือจากการเรียนการสอน)</t>
  </si>
  <si>
    <t>(เช่น เอกสารแนบ, ชื่อโครงการ, ชื่อคณะกรรมการ)</t>
  </si>
  <si>
    <t>โครงการ/กิจกรรม</t>
  </si>
  <si>
    <t>งานที่ 1</t>
  </si>
  <si>
    <t>งานที่ 2</t>
  </si>
  <si>
    <t>การเป็นอาจารย์ที่ปรึกษา</t>
  </si>
  <si>
    <t>งานที่ 3</t>
  </si>
  <si>
    <t>การเป็นอาจารย์ที่ปรึกษากิจกรรมนักศึกษา / หอพักนศ. / โครงงานต่างๆ</t>
  </si>
  <si>
    <t>งานที่ 4</t>
  </si>
  <si>
    <t>โครงการพิเศษที่ส่งเสริมนักศึกษาในด้านต่างๆ</t>
  </si>
  <si>
    <t>งานที่ 5</t>
  </si>
  <si>
    <t>โครงการพัฒนาทักษะทางวิชาการ/การใช้ชีวิตให้นักศึกษา</t>
  </si>
  <si>
    <t>งานที่ 6</t>
  </si>
  <si>
    <t>โครงการวิจัย/บริการวิชาการที่มีนักศึกษาเข้าร่วม/มีส่วนเกี่ยวข้อง</t>
  </si>
  <si>
    <t>งานที่ 7</t>
  </si>
  <si>
    <t>งานที่ 8</t>
  </si>
  <si>
    <t>การมุ่งสู่ความเป็นนานาชาติ</t>
  </si>
  <si>
    <t>การได้รับรางวัลในระดับนานาชาติ</t>
  </si>
  <si>
    <t>การมุ่งสู่ความเป็นมหาวิทยาลัยอินทรีย์ มหาวิทยาลัยสีเขียว มหาวิทยาลัยเชิงนิเวศ</t>
  </si>
  <si>
    <t>การได้รับรางวัล</t>
  </si>
  <si>
    <t>ภาระงานยุทธศาสตร์</t>
  </si>
  <si>
    <t>เข้าร่วม/เป็นคณะกรรมการกำกับดูแลการจัดกิจกรรมพัฒนาศักยภาพนักศึกษาใหม่ และเสริมสร้างอัตลักษณ์ความเป็นลูกแม่โจ้</t>
  </si>
  <si>
    <t>ได้รับรางวัล</t>
  </si>
  <si>
    <t>ระดับ</t>
  </si>
  <si>
    <r>
      <t xml:space="preserve">การได้รับรางวัลของนักศึกษา  </t>
    </r>
    <r>
      <rPr>
        <b/>
        <u/>
        <sz val="10"/>
        <color rgb="FFFF0000"/>
        <rFont val="Arial"/>
        <family val="2"/>
      </rPr>
      <t>(ได้รับรางวัลระดับชาติ และระดับนานาชาติ คิดภาระงานสูงสุดร้อยละ 10)</t>
    </r>
  </si>
  <si>
    <r>
      <t xml:space="preserve">มีการสอนอย่างน้อย 1 รายวิชาเป็นภาษาอังกฤษ (ยกเว้นรายวิชาที่สอนเกี่ยวกับภาษาอังกฤษ และรายวิชาที่อยู่ในหลักสูตร 2 ภาษา และนานาชาติ)  </t>
    </r>
    <r>
      <rPr>
        <sz val="10"/>
        <color rgb="FFFF0000"/>
        <rFont val="Arial"/>
        <family val="2"/>
      </rPr>
      <t>คิดภาระงานสูงสุดร้อยละ 10</t>
    </r>
  </si>
  <si>
    <t>การพัฒนาสื่อการสอนให้สอดคล้องกับมาตรฐานสากล</t>
  </si>
  <si>
    <t>มีการปฏิบัติภาระงานตามพันธกิจร่วมกับต่างประเทศ/ต่างชาติ (สอน/วิจัย/บริการวิชาการ)</t>
  </si>
  <si>
    <t>สัดส่วนการ</t>
  </si>
  <si>
    <r>
      <t xml:space="preserve">การได้รับรางวัล  </t>
    </r>
    <r>
      <rPr>
        <b/>
        <u/>
        <sz val="10"/>
        <color rgb="FFFF0000"/>
        <rFont val="Arial"/>
        <family val="2"/>
      </rPr>
      <t>(ได้รับรางวัลระดับชาติ และระดับนานาชาติ คิดภาระงานสูงสุดร้อยละ 10)</t>
    </r>
  </si>
  <si>
    <t>(ภาคการศึกษา)</t>
  </si>
  <si>
    <t>ลำดับที่ 21</t>
  </si>
  <si>
    <t>ลำดับที่ 22</t>
  </si>
  <si>
    <t>ลำดับที่ 23</t>
  </si>
  <si>
    <t>ลำดับที่ 24</t>
  </si>
  <si>
    <t>ลำดับที่ 25</t>
  </si>
  <si>
    <t>ลำดับที่ 26</t>
  </si>
  <si>
    <t>ลำดับที่ 27</t>
  </si>
  <si>
    <t>ลำดับที่ 28</t>
  </si>
  <si>
    <t>ลำดับที่ 29</t>
  </si>
  <si>
    <t>ลำดับที่ 30</t>
  </si>
  <si>
    <t>วิทยาศาสตร์เพื่อชีวิต (2/2560) กลุ่ม 1</t>
  </si>
  <si>
    <t>บรรยาย/ครั้ง</t>
  </si>
  <si>
    <t>หัวข้อที่ 1</t>
  </si>
  <si>
    <t>หัวข้อที่ 2</t>
  </si>
  <si>
    <t>หัวข้อที่ 3</t>
  </si>
  <si>
    <t>หัวข้อที่ 4</t>
  </si>
  <si>
    <t>หัวข้อที่ 5</t>
  </si>
  <si>
    <t>มีเทคนิคการสอนที่สอดคล้องกับ(ศตวรรษที่ 21)</t>
  </si>
  <si>
    <t>การเป็นอาจารย์ที่ปรึกษาให้กับนักศึกษานำผลงานไปประกวด (จน.อาจารย์ไม่เกิน 2 คน/โครงการ มีหนังสือแต่งตั้ง)</t>
  </si>
  <si>
    <t xml:space="preserve"> กรอกสัดส่วนงาน</t>
  </si>
  <si>
    <t>Visiting Professor (เป็นงบประมาณสนับสนุนจากหน่วยงานที่เชิญ)</t>
  </si>
  <si>
    <t>คะแนนสอบภาษาอังกฤษผ่านตามเกณฑ์มาตรฐาน (กรณีเกินค่ามาตรฐานระดับสมรรถนะของตนเอง)</t>
  </si>
  <si>
    <t>การเผยแพร่ผลงานในเวทีระดับนานาชาติ</t>
  </si>
  <si>
    <t>การตีพิมพ์ผลงานวิจัยในระดับนานาชาติ (ระดับคุณภาพผลงาน)</t>
  </si>
  <si>
    <t>ผู้รับผิดชอบโครงการให้นักศึกษาระดับปริญญาตรี ไปสหกิจศึกษา/ฝึกงาน ณ ต่างประเทศ (นอกเหนือจากงานในหลักสูตร) คิดตามจำนวนนักศึกษา</t>
  </si>
  <si>
    <t>ผู้รับผิดชอบโครงการให้นักศึกษาระดับบัณฑิตศึกษา ไปฝึกงาน ณ ต่างประเทศ (นอกเหนือจากงานในหลักสูตร) คิดตามจำนวนนักศึกษา</t>
  </si>
  <si>
    <r>
      <t xml:space="preserve">เป็นผู้ขับเคลื่อนโครงการยุทธศาสตร์ของมหาวิทยาลัย เช่น โครงการผู้นำเกษตรยุคใหม่ (MAGLEAD) 
</t>
    </r>
    <r>
      <rPr>
        <sz val="10"/>
        <color rgb="FFFF0000"/>
        <rFont val="Arial"/>
        <family val="2"/>
      </rPr>
      <t>คิดภาระงานสูงสุดร้อยละ 10</t>
    </r>
  </si>
  <si>
    <t>เป็นผู้ขับเคลื่อนโครงการสำนักงานสีเขียว</t>
  </si>
  <si>
    <t>เป็นผู้ขับเคลื่อนการใช้ทรัพยากรร่วมกันในหน่วยงาน</t>
  </si>
  <si>
    <t>เป็นผู้ขับเคลื่อนการเรียนการสอนที่เกี่ยวกับ ม.อินทรีย์/เชิงนิเวศ</t>
  </si>
  <si>
    <t>เป็นผู้ขับเคลื่อนงานวิจัยที่เกี่ยวกับ ม.อินทรีย์/เชิงนิเวศ</t>
  </si>
  <si>
    <t>เป็นผู้ขับเคลื่อน University green ranking</t>
  </si>
  <si>
    <t>เชิงปริมาณ (จำนวนชั่วโมงทำการ/สัปดาห์)</t>
  </si>
  <si>
    <t>ลำดับที่ 31</t>
  </si>
  <si>
    <t>ลำดับที่ 32</t>
  </si>
  <si>
    <t>ลำดับที่ 33</t>
  </si>
  <si>
    <t>ลำดับที่ 34</t>
  </si>
  <si>
    <t>ลำดับที่ 35</t>
  </si>
  <si>
    <t>ลำดับที่ 36</t>
  </si>
  <si>
    <t>ลำดับที่ 37</t>
  </si>
  <si>
    <t>ลำดับที่ 38</t>
  </si>
  <si>
    <t>ลำดับที่ 39</t>
  </si>
  <si>
    <t>(ภาคการศึกษา) / กลุ่มที่</t>
  </si>
  <si>
    <t>ลำดับที่ 40</t>
  </si>
  <si>
    <t>เคมีทั่วไป (1/2561) กลุ่ม 1</t>
  </si>
  <si>
    <t>วิชาที่ 31</t>
  </si>
  <si>
    <t>วิชาที่ 32</t>
  </si>
  <si>
    <t>วิชาที่ 33</t>
  </si>
  <si>
    <t>วิชาที่ 34</t>
  </si>
  <si>
    <t>วิชาที่ 35</t>
  </si>
  <si>
    <t>วิชาที่ 36</t>
  </si>
  <si>
    <t>วิชาที่ 37</t>
  </si>
  <si>
    <t>วิชาที่ 38</t>
  </si>
  <si>
    <t>วิชาที่ 39</t>
  </si>
  <si>
    <t>วิชาที่ 40</t>
  </si>
  <si>
    <t>เคมีทั่วไป (1/2561) กลุ่ม 3</t>
  </si>
  <si>
    <t xml:space="preserve">(ภาคการศึกษา) </t>
  </si>
  <si>
    <t>สรีรวิทยาการผลิตพืชไร่ (2/2560)</t>
  </si>
  <si>
    <t xml:space="preserve">          1.3 งานวิจัยที่ไม่ได้รับทุน (มีการตรวจสอบโครงการ Peer และมีการติดตามผลการดำเนินงานจากคณะ)</t>
  </si>
  <si>
    <t>โครงการวิจัยทางวิทยาศาสตร์และเทคโนโลยี</t>
  </si>
  <si>
    <t xml:space="preserve">    30  ภาระงานให้บริการอื่นๆ นอกเหนือจากที่ระบุข้างต้น</t>
  </si>
  <si>
    <t>หัวข้อที่ 6</t>
  </si>
  <si>
    <t>หัวข้อที่ 7</t>
  </si>
  <si>
    <t>หัวข้อที่ 8</t>
  </si>
  <si>
    <t>หัวข้อที่ 9</t>
  </si>
  <si>
    <t>หัวข้อที่ 10</t>
  </si>
  <si>
    <t>หัวข้อที่ 11</t>
  </si>
  <si>
    <t>หัวข้อที่ 12</t>
  </si>
  <si>
    <t>หัวข้อที่ 13</t>
  </si>
  <si>
    <t>หัวข้อที่ 14</t>
  </si>
  <si>
    <t>หัวข้อที่ 15</t>
  </si>
  <si>
    <t>ทำงานจริง/ครั้ง</t>
  </si>
  <si>
    <t xml:space="preserve">    23  การให้บริการทางวิชาการแก่บุคคลหรือหน่วยงานภายนอกสถานศึกษา  (ต้องได้รับการเห็นชอบจากหน่วยงานต้นสังกัด)</t>
  </si>
  <si>
    <t xml:space="preserve">    29 การให้บริการวิชาการ ของโครงการวิจัยเชิงบูรณาการ</t>
  </si>
  <si>
    <t>ทำงาน/ครั้ง</t>
  </si>
  <si>
    <t>ประชุม/ครั้ง</t>
  </si>
  <si>
    <t>30.</t>
  </si>
  <si>
    <t>การให้บริการวิชาการ ของโครงการวิจัยเชิงบูรณาการ</t>
  </si>
  <si>
    <r>
      <t xml:space="preserve">เอกสารคำสอน-เอกสารประกอบการสอน </t>
    </r>
    <r>
      <rPr>
        <b/>
        <sz val="11"/>
        <color rgb="FFFF0000"/>
        <rFont val="Arial"/>
        <family val="2"/>
      </rPr>
      <t xml:space="preserve"> (</t>
    </r>
    <r>
      <rPr>
        <b/>
        <sz val="10"/>
        <color rgb="FFFF0000"/>
        <rFont val="Arial"/>
        <family val="2"/>
      </rPr>
      <t xml:space="preserve">กรณีผ่านการประเมินจากคณะอนุกรรมการประเมินผลการสอน ที่มีความสมบูรณ์ และมีเนื้อหาครบถ้วนตาม มคอ. 3 สามารถนำมาคิดภาระงานได้ 3 ปี นับจากวันที่ทราบผลการประเมิน </t>
    </r>
    <r>
      <rPr>
        <b/>
        <u/>
        <sz val="10"/>
        <color rgb="FFFF0000"/>
        <rFont val="Arial"/>
        <family val="2"/>
      </rPr>
      <t>กรณีไม่ผ่านการประเมินจากคณะอนุกรรมการประเมินผลการสอน คิดภาระงานให้ครึ่งหนึ่ง</t>
    </r>
    <r>
      <rPr>
        <b/>
        <sz val="10"/>
        <color rgb="FFFF0000"/>
        <rFont val="Arial"/>
        <family val="2"/>
      </rPr>
      <t>)</t>
    </r>
  </si>
  <si>
    <t>ภาระงานระดับคณะ/มหาวิทยาลัย ที่ได้รับมอบหมาย</t>
  </si>
  <si>
    <t>คำอธิบายการกรอกข้อมูลส่วนที่ 2 ข้อตกลงด้านภาระงาน</t>
  </si>
  <si>
    <t>2. เลือกข้อมูลในช่องสีเหลือง</t>
  </si>
  <si>
    <t>1. กรอกข้อมูลในช่องสีฟ้า</t>
  </si>
  <si>
    <t>คำอธิบายการกรอกข้อมูลส่วนที่ 2 รายงานภาระงานตามข้อตกลง</t>
  </si>
  <si>
    <t xml:space="preserve">          1.2 งานวิจัยเชิงบูรณาการ (ให้คณะรับรองผลงานวิจัย)</t>
  </si>
  <si>
    <t>จำนวนเงินวิจัย/ปี</t>
  </si>
  <si>
    <t>ยอดเงินวิจัย/ปี</t>
  </si>
  <si>
    <t>*ไม่นับภาระงานสอนภาคฤดูร้อน*</t>
  </si>
  <si>
    <t>(ว/ด/ปปปป พ.ศ.)</t>
  </si>
  <si>
    <t>(2)</t>
  </si>
  <si>
    <t>(3)</t>
  </si>
  <si>
    <t>(4)</t>
  </si>
  <si>
    <t>(3) เทียบ (2)</t>
  </si>
  <si>
    <r>
      <t xml:space="preserve">เทียบค่าเป้าหมาย </t>
    </r>
    <r>
      <rPr>
        <b/>
        <sz val="10"/>
        <rFont val="Arial"/>
        <family val="2"/>
      </rPr>
      <t xml:space="preserve">กับจำนวนชั่วโมง
ทำการ </t>
    </r>
  </si>
  <si>
    <t>(3) เทียบ (1)</t>
  </si>
  <si>
    <r>
      <t xml:space="preserve">เทียบมาตรฐานภาระงาน </t>
    </r>
    <r>
      <rPr>
        <b/>
        <sz val="9"/>
        <rFont val="Arial"/>
        <family val="2"/>
      </rPr>
      <t xml:space="preserve">กับจำนวนชั่วโมง
ทำการ </t>
    </r>
  </si>
  <si>
    <t>(5) เทียบ (4)</t>
  </si>
  <si>
    <t xml:space="preserve">ค่าเป้าหมายตามข้อตกลง(TOR)
</t>
  </si>
  <si>
    <t xml:space="preserve">คะแนนตามรายงานภาระงาน
</t>
  </si>
  <si>
    <r>
      <t xml:space="preserve">เทียบค่าเป้าหมาย </t>
    </r>
    <r>
      <rPr>
        <b/>
        <sz val="9"/>
        <rFont val="Arial"/>
        <family val="2"/>
      </rPr>
      <t>กับคะแนนตามรายงานภาระงาน</t>
    </r>
    <r>
      <rPr>
        <b/>
        <i/>
        <sz val="9"/>
        <rFont val="Arial"/>
        <family val="2"/>
      </rPr>
      <t xml:space="preserve"> </t>
    </r>
  </si>
  <si>
    <t>วิทยาลัยนานาชาติ</t>
  </si>
  <si>
    <t>ระดับมหาวิทยาลัย</t>
  </si>
  <si>
    <t>ระดับส่วนงาน</t>
  </si>
  <si>
    <t>คณะ/สำนัก</t>
  </si>
  <si>
    <t>วิสาหกิจที่จัดตั้งโดย
สภามหาวิทยาลัย</t>
  </si>
  <si>
    <t>งานยุทธศาสตร์มหาวิทยาลัย</t>
  </si>
  <si>
    <t>สายวิชาการทั่วไป</t>
  </si>
  <si>
    <t>รอง
อธิการบดี</t>
  </si>
  <si>
    <t>รองคณบดี/รอง ผอ.สำนัก</t>
  </si>
  <si>
    <t>ผู้ช่วย
คณบดี</t>
  </si>
  <si>
    <t>ผอ.
วิสาหกิจ</t>
  </si>
  <si>
    <t>ผู้รับผิดชอบหลัก</t>
  </si>
  <si>
    <t>องค์ประกอบที่ 1 : ผลสัมฤทธิ์ของงาน (ร้อยละ 80)</t>
  </si>
  <si>
    <t>2. ภาระงานพันธกิจ</t>
  </si>
  <si>
    <t>องค์ประกอบที่ 2 : ด้านสมรรถนะในการปฏิบัติงาน (ร้อยละ 20)</t>
  </si>
  <si>
    <t>สมรรถนะที่จำเป็นในการปฏิบัติงาน</t>
  </si>
  <si>
    <t xml:space="preserve">   (1) สมรรถนะหลัก</t>
  </si>
  <si>
    <t>P</t>
  </si>
  <si>
    <t xml:space="preserve">   (2) สมรรถนะประจำกลุ่มงาน</t>
  </si>
  <si>
    <t xml:space="preserve">   (3) สมรรถนะผู้บริหาร</t>
  </si>
  <si>
    <t>พฤติกรรมในการปฏิบัติงาน</t>
  </si>
  <si>
    <t>3. งานอื่นที่ได้รับมอบหมายเพื่อเป็นการ 
   ขับเคลื่อนการดำเนินงานของมหาวิทยาลัยหรือ    ส่วนงานหรือหน่วยงาน **</t>
  </si>
  <si>
    <r>
      <t xml:space="preserve">หมายเหตุ </t>
    </r>
    <r>
      <rPr>
        <sz val="14"/>
        <rFont val="TH SarabunPSK"/>
        <family val="2"/>
      </rPr>
      <t xml:space="preserve"> * ประกาศ ก.บ.ม. เรื่องหลักเกณฑ์การประเมินผลการปฏิบัติงานของผู้บริหารและผู้ปฏิบัติงานในมหาวิทยาลัย พ.ศ. 2562</t>
    </r>
  </si>
  <si>
    <t xml:space="preserve">              ** ให้ผู้รับผิดชอบหลัก, ผู้ที่ได้รับแต่งตั้งให้ช่วยปฏิบัติงานด้านยุทธศาสตร์ของมหาวิทยาลัย, ประธานสภาพนักงาน, ผู้อำนวยการวิสาหกิจในส่วนงาน ได้รับสัดส่วนน้ำหนักภาระงาน</t>
  </si>
  <si>
    <t xml:space="preserve">                 ในหัวข้อดังกล่าวเต็มจำนวน</t>
  </si>
  <si>
    <r>
      <t>2. องค์ประกอบและสัดส่วนของการประเมินจากผลสัมฤทธิ์ของงาน</t>
    </r>
    <r>
      <rPr>
        <b/>
        <sz val="14"/>
        <rFont val="TH SarabunPSK"/>
        <family val="2"/>
      </rPr>
      <t xml:space="preserve"> *</t>
    </r>
  </si>
  <si>
    <t xml:space="preserve">    - เชิงปริมาณ</t>
  </si>
  <si>
    <t xml:space="preserve">    - เชิงคุณภาพ</t>
  </si>
  <si>
    <t>1.1 ภาระงานเชิงปริมาณ โดยแบ่งออกเป็น 4 ส่วน กล่าวคือ</t>
  </si>
  <si>
    <t xml:space="preserve">1.2 ภาระงานเชิงคุณภาพ </t>
  </si>
  <si>
    <t>รองอธิการบดี</t>
  </si>
  <si>
    <t>รองคณบดีหรือรองผู้อำนวยการสำนัก</t>
  </si>
  <si>
    <t>แสดงให้เห็นถึงคุณภาพของงาน การพัฒนางาน การป้องกันปัญหา และการแก้ไขปัญหา</t>
  </si>
  <si>
    <t>ต่ำกว่าคาดหวัง</t>
  </si>
  <si>
    <t>ระดับดี</t>
  </si>
  <si>
    <t>ร้อยละความสำเร็จของการบริหารงานเป็นไปตามแผนงาน และ</t>
  </si>
  <si>
    <t>&lt; 60</t>
  </si>
  <si>
    <t>60 - 69.99</t>
  </si>
  <si>
    <t>70 - 79.99</t>
  </si>
  <si>
    <t>80 - 89.99</t>
  </si>
  <si>
    <t>&gt;= 90</t>
  </si>
  <si>
    <t>กำหนดภาระงาน/กรอกข้อมูลในช่อง</t>
  </si>
  <si>
    <t>กรอบสีน้ำเงิน</t>
  </si>
  <si>
    <t xml:space="preserve">1. กรอกค่าเป้าหมายจำนวนชั่วโมงทำการที่คาดว่าสามารถทำได้สูงสุดต่อสัปดาห์
</t>
  </si>
  <si>
    <r>
      <t xml:space="preserve">   </t>
    </r>
    <r>
      <rPr>
        <u/>
        <sz val="14"/>
        <rFont val="TH SarabunPSK"/>
        <family val="2"/>
      </rPr>
      <t>ในช่องกรอบสีน้ำเงิน (ค)</t>
    </r>
    <r>
      <rPr>
        <sz val="14"/>
        <color rgb="FFFF0000"/>
        <rFont val="TH SarabunPSK"/>
        <family val="2"/>
      </rPr>
      <t xml:space="preserve"> (สามารถกรอกเป็นตัวเลขจุดทศนิยมได้)</t>
    </r>
  </si>
  <si>
    <r>
      <t xml:space="preserve">2. ผลรวมค่าเป้าหมายจำนวนชั่วโมงทำการ/สัปดาห์ </t>
    </r>
    <r>
      <rPr>
        <u/>
        <sz val="14"/>
        <rFont val="TH SarabunPSK"/>
        <family val="2"/>
      </rPr>
      <t>ในช่องกรอบสีแดง</t>
    </r>
  </si>
  <si>
    <t>3. โปรแกรมจะคำนวณค่าน้ำหนักของภาระงาน (ง) อัตโนมัติตามค่าเป้าหมายที่กำหนด</t>
  </si>
  <si>
    <r>
      <t xml:space="preserve">    ในช่องกรอบสีน้ำเงิน (ค) </t>
    </r>
    <r>
      <rPr>
        <sz val="14"/>
        <color rgb="FFFF0000"/>
        <rFont val="TH SarabunPSK"/>
        <family val="2"/>
      </rPr>
      <t>โดยค่าผลรวม</t>
    </r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</si>
  <si>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3"/>
        <rFont val="TH SarabunPSK"/>
        <family val="2"/>
      </rPr>
      <t>และ</t>
    </r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</si>
  <si>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3"/>
        <rFont val="TH SarabunPSK"/>
        <family val="2"/>
      </rPr>
      <t>และ/หรือ</t>
    </r>
  </si>
  <si>
    <t xml:space="preserve">2. การกำหนดข้อตกลงร่วม ผู้ปฏิบัติงานจะต้องกรอกรายละเอียดภาระงานโดยสังเขปในส่วนของภาระงานตามหน้าที่ความรับผิดชอบของตำแหน่ง และ/หรือภาระงานด้านอื่นๆ พร้อมกำหนดตัวชี้วัดความสำเร็จของภาระงานแต่ละ
   รายการตลอดจนค่าเป้าหมาย และน้ำหนักร้อยละ  สำหรับในส่วนของพฤติกรรมการปฏิบัติราชการ (สมรรถนะ)  ให้ระบุระดับสมรรถนะค่ามาตรฐาน </t>
  </si>
  <si>
    <t>3. สำหรับการกรอกรายละเอียดภาระงานตามพันธกิจ ให้อ้างอิงการคำนวณภาระงานขั้นต่ำตามหลักเกณฑ์กรอบมาตรฐานภาระงานที่แนบท้ายประกาศคณะกรรมการบริหารงานบุคคลมหาวิทยาลัยแม่โจ้ (ก.บ.ม.) ที่บังคับใช้สำหรับ
   การประเมินผลการปฏิบัติราชการ</t>
  </si>
  <si>
    <t>มีผลการประเมินความพึงพอใจของนักศึกษาต่ออาจารย์ผู้สอนทุกกลุ่ม/รายวิชาของภาคการศึกษาที่ผ่านมา ในระดับดีขึ้นไป</t>
  </si>
  <si>
    <r>
      <t xml:space="preserve">มีการบูรณาการงานบริการวิชาการกับการเรียนการสอน เช่น การถ่ายทอดประสบการณ์ จากการบริการวิชาการในชั้นเรียน </t>
    </r>
    <r>
      <rPr>
        <b/>
        <u/>
        <sz val="13"/>
        <rFont val="TH SarabunPSK"/>
        <family val="2"/>
      </rPr>
      <t>หรือ</t>
    </r>
  </si>
  <si>
    <r>
      <t xml:space="preserve">มีการผลิตสื่อการสอน เช่น เอกสารประกอบการสอน เอกสารคำสอน ตำรา หนังสือ ฯลฯ
</t>
    </r>
    <r>
      <rPr>
        <sz val="13"/>
        <color rgb="FFFF0000"/>
        <rFont val="TH SarabunPSK"/>
        <family val="2"/>
      </rPr>
      <t>*กรณีเป็นสื่อการสอนประเภท เอกสารประกอบการสอน เอกสารคำสอน ตำรา หนังสือ ต้องผ่านเกณฑ์การประเมินจากผู้ทรงคุณวุฒิ/คณะอนุกรรมการประเมินผลการสอน</t>
    </r>
  </si>
  <si>
    <r>
      <rPr>
        <b/>
        <u/>
        <sz val="8"/>
        <color rgb="FF0000CC"/>
        <rFont val="TH SarabunPSK"/>
        <family val="2"/>
      </rPr>
      <t xml:space="preserve">
</t>
    </r>
    <r>
      <rPr>
        <b/>
        <u/>
        <sz val="14"/>
        <color rgb="FF0000CC"/>
        <rFont val="TH Niramit AS"/>
      </rPr>
      <t/>
    </r>
  </si>
  <si>
    <t>ส่วนที่ 3 ด้านสมรรถนะในการปฏิบัติงาน</t>
  </si>
  <si>
    <t xml:space="preserve">        ………………………………………………………………………………………………………………………………………………………………………………...</t>
  </si>
  <si>
    <t xml:space="preserve">    * หมายเหตุ  ตามประกาศประกาศสภามหาวิทยาลัยแม่โจ้ เรื่อง  การกำหนดกรอบภาระงานทางวิชาการของผู้ดำรงตำแหน่งอาจารย์ ผู้ช่วยศาสตราจารย์ รองศาสตราจารย์ </t>
  </si>
  <si>
    <t xml:space="preserve">                      และศาสตราจารย์ พ.ศ. 2560</t>
  </si>
  <si>
    <t>(ภาระงานตั้งแต่วันที่ 1 ตุลาคม 2562 - 30 กันยายน 2563)</t>
  </si>
  <si>
    <t>หัวข้อการประเมิน</t>
  </si>
  <si>
    <t>1. สมรรถนะที่จำเป็นในการปฏิบัติงาน (ร้อยละ 10)</t>
  </si>
  <si>
    <t>2. พฤติกรรมในการปฏิบัติงาน (ร้อยละ 10)</t>
  </si>
  <si>
    <t>ค่าเป้าหมาย</t>
  </si>
  <si>
    <t>เกณฑ์การให้คะแนน</t>
  </si>
  <si>
    <t>รวมน้ำหนักภาระงานตามพันธกิจ เชิงคุณภาพ</t>
  </si>
  <si>
    <t xml:space="preserve">กรุณากรอกข้อมูลในช่องกรอบสีน้ำเงิน </t>
  </si>
  <si>
    <t>คะแนนรวมด้านภาระงานตามพันธกิจ เชิงคุณภาพ</t>
  </si>
  <si>
    <r>
      <t>จำนวนสมรรถนะที่มีระดับของสมรรถนะ</t>
    </r>
    <r>
      <rPr>
        <b/>
        <u/>
        <sz val="13"/>
        <rFont val="TH SarabunPSK"/>
        <family val="2"/>
      </rPr>
      <t>สูงกว่า</t>
    </r>
    <r>
      <rPr>
        <sz val="13"/>
        <rFont val="TH SarabunPSK"/>
        <family val="2"/>
      </rPr>
      <t>หรือ</t>
    </r>
    <r>
      <rPr>
        <b/>
        <u/>
        <sz val="13"/>
        <rFont val="TH SarabunPSK"/>
        <family val="2"/>
      </rPr>
      <t>เท่ากับ</t>
    </r>
    <r>
      <rPr>
        <sz val="13"/>
        <rFont val="TH SarabunPSK"/>
        <family val="2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</si>
  <si>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3"/>
        <rFont val="TH SarabunPSK"/>
        <family val="2"/>
      </rPr>
      <t>ต่ำกว่า</t>
    </r>
    <r>
      <rPr>
        <sz val="13"/>
        <rFont val="TH SarabunPSK"/>
        <family val="2"/>
      </rPr>
      <t xml:space="preserve">ระดับของสมรรถนะมาตรฐาน </t>
    </r>
    <r>
      <rPr>
        <b/>
        <u/>
        <sz val="13"/>
        <rFont val="TH SarabunPSK"/>
        <family val="2"/>
      </rPr>
      <t>1 ระดับ</t>
    </r>
  </si>
  <si>
    <r>
      <t>จำนวนสมรรถนะที่มีระดับของสมรรถนะ</t>
    </r>
    <r>
      <rPr>
        <b/>
        <u/>
        <sz val="13"/>
        <rFont val="TH SarabunPSK"/>
        <family val="2"/>
      </rPr>
      <t>ต่ำกว่า</t>
    </r>
    <r>
      <rPr>
        <sz val="13"/>
        <rFont val="TH SarabunPSK"/>
        <family val="2"/>
      </rPr>
      <t xml:space="preserve">ระดับของสมรรถนะมาตรฐาน </t>
    </r>
    <r>
      <rPr>
        <b/>
        <u/>
        <sz val="13"/>
        <rFont val="TH SarabunPSK"/>
        <family val="2"/>
      </rPr>
      <t>2 ระดับ</t>
    </r>
  </si>
  <si>
    <r>
      <t>จำนวนสมรรถนะที่มีระดับของสมรรถนะ</t>
    </r>
    <r>
      <rPr>
        <b/>
        <u/>
        <sz val="13"/>
        <rFont val="TH SarabunPSK"/>
        <family val="2"/>
      </rPr>
      <t>ต่ำกว่า</t>
    </r>
    <r>
      <rPr>
        <sz val="13"/>
        <rFont val="TH SarabunPSK"/>
        <family val="2"/>
      </rPr>
      <t xml:space="preserve">ระดับของสมรรถนะมาตรฐาน </t>
    </r>
    <r>
      <rPr>
        <b/>
        <u/>
        <sz val="13"/>
        <rFont val="TH SarabunPSK"/>
        <family val="2"/>
      </rPr>
      <t>3 ระดับ</t>
    </r>
  </si>
  <si>
    <t>(ญ) สรุปคะแนนส่วนผลสัมฤทธิ์ของงาน =ผลรวมของ (1)+(2)+(3)</t>
  </si>
  <si>
    <t>หลักเกณฑ์การประเมิน</t>
  </si>
  <si>
    <t>องค์ประกอบที่ 2  : ด้านสมรรถนะในการปฏิบัติงาน    (ร้อยละ 20)</t>
  </si>
  <si>
    <t>(ก) สมรรถนะ</t>
  </si>
  <si>
    <t>(ข) ระดับสมรรถนะ</t>
  </si>
  <si>
    <r>
      <t xml:space="preserve">      มีการปฏิบัติราชการ/ภาระงาน</t>
    </r>
    <r>
      <rPr>
        <u/>
        <sz val="14"/>
        <rFont val="TH SarabunPSK"/>
        <family val="2"/>
      </rPr>
      <t>สูงกว่า</t>
    </r>
    <r>
      <rPr>
        <sz val="14"/>
        <rFont val="TH SarabunPSK"/>
        <family val="2"/>
      </rPr>
      <t>ข้อตกลงที่ได้ทำไว้</t>
    </r>
  </si>
  <si>
    <r>
      <t xml:space="preserve">      มีการปฏิบัติราชการ/ภาระงาน</t>
    </r>
    <r>
      <rPr>
        <u/>
        <sz val="14"/>
        <rFont val="TH SarabunPSK"/>
        <family val="2"/>
      </rPr>
      <t>เป็นไปตาม</t>
    </r>
    <r>
      <rPr>
        <sz val="14"/>
        <rFont val="TH SarabunPSK"/>
        <family val="2"/>
      </rPr>
      <t>ข้อตกลงที่ได้ทำไว้</t>
    </r>
  </si>
  <si>
    <r>
      <t xml:space="preserve">      มีการปฏิบัติราชการ/ภาระงาน</t>
    </r>
    <r>
      <rPr>
        <u/>
        <sz val="14"/>
        <rFont val="TH SarabunPSK"/>
        <family val="2"/>
      </rPr>
      <t>ต่ำกว่า</t>
    </r>
    <r>
      <rPr>
        <sz val="14"/>
        <rFont val="TH SarabunPSK"/>
        <family val="2"/>
      </rPr>
      <t>ข้อตกลงที่ได้ทำไว้</t>
    </r>
  </si>
  <si>
    <r>
      <t xml:space="preserve">กรุณาทำเครื่องหมาย </t>
    </r>
    <r>
      <rPr>
        <b/>
        <sz val="14"/>
        <rFont val="Wingdings 2"/>
        <family val="1"/>
        <charset val="2"/>
      </rPr>
      <t>P</t>
    </r>
  </si>
  <si>
    <t>ดีมาก</t>
  </si>
  <si>
    <t>ดี</t>
  </si>
  <si>
    <t>ต้องปรับปรุง</t>
  </si>
  <si>
    <t>(ช่วงคะแนนต่ำกว่า 60)</t>
  </si>
  <si>
    <t>ส่วนที่ 3 แบบประเมินสมรรถนะที่จำเป็นในการปฏิบัติงาน</t>
  </si>
  <si>
    <t>ส่วนที่ 4 พฤติกรรมในการปฏิบัติงาน</t>
  </si>
  <si>
    <t>ส่วนที่ 5 สรุปภาระงานตามมาตรฐานผลงานทางวิชาการของผู้ดำรงตำแหน่งผู้ช่วยศาสตราจารย์ รองศาสตราจารย์ และศาสตราจารย์</t>
  </si>
  <si>
    <t xml:space="preserve">ส่วนที่ 6  สรุปผลการประเมิน  </t>
  </si>
  <si>
    <t>ส่วนที่ 7 สรุปผลการปฏิบัติราชการ/ภาระงานตามข้อตกลง</t>
  </si>
  <si>
    <t>ส่วนที่ 8  การลงลายมือชื่อไว้เป็นหลักฐาน</t>
  </si>
  <si>
    <t>ผู้รับผิดชอบหลัก (งานยุทธศาสตร์มหาวิทยาลัย)</t>
  </si>
  <si>
    <t xml:space="preserve">8.1  ณ วันรายงานภาระงานตามข้อตกลง </t>
  </si>
  <si>
    <t>8.2   ณ วันสิ้นสุดรอบการประเมิน</t>
  </si>
  <si>
    <t>(4) สรุปคะแนนส่วนสมรรถนะที่จำเป็นในการปฏิบัติงาน  = [(ผลรวมของค่าคะแนน / (จำนวนสมรรถนะที่ใช้ในการประเมิน x 3 คะแนน)] x 10</t>
  </si>
  <si>
    <t xml:space="preserve">   3  ผลงานสร้างสรรค์</t>
  </si>
  <si>
    <t>ผลงาน...............</t>
  </si>
  <si>
    <t>(เช่น สถานที่จัดแสดง ชื่อนิทรรศการ ชื่อเอกสารที่เผยแพร่ สื่อออนไลน์ที่เผยแพร่)</t>
  </si>
  <si>
    <t>วันที่เผยแพร่</t>
  </si>
  <si>
    <t>รายละเอียดการนำเสนอ/เผยแพร่</t>
  </si>
  <si>
    <t>รวมจำนวนภาระงานผลงานสร้างสรรค์ด้านวิทยาศาสตร์และเทคโนโลยี ทั้งหมด</t>
  </si>
  <si>
    <t>รวมจำนวนภาระงานผลงานสร้างสรรค์ด้านสุทรียะ ศิลปะ ทั้งหมด</t>
  </si>
  <si>
    <t>ส่วนที่ 4 การลงลายมือชื่อรับทราบข้อตกลงภาระงานและพฤติกรรมการปฏิบัติราชการ</t>
  </si>
  <si>
    <t>ดีเยี่ยม</t>
  </si>
  <si>
    <t>(ช่วงคะแนน 90 - 100)</t>
  </si>
  <si>
    <t>(ช่วงคะแนน 80 - 89.99)</t>
  </si>
  <si>
    <t>(ช่วงคะแนน 70 - 79.99)</t>
  </si>
  <si>
    <t>(ช่วงคะแนน 60 - 69.99)</t>
  </si>
  <si>
    <t>ปานกลาง</t>
  </si>
  <si>
    <t>สรุปคะแนนผลการประเมินการปฏิบัติงาน  (คะแนนเต็ม 100 คะแนน)</t>
  </si>
  <si>
    <t xml:space="preserve">         จุดเด่น และ/หรือ สิ่งที่ควรปรับปรุงแก้ไข</t>
  </si>
  <si>
    <t>(5) สรุปคะแนนด้านพฤติกรรมในการปฏิบัติงาน</t>
  </si>
  <si>
    <t>(ช) คะแนนรวม</t>
  </si>
  <si>
    <t>(ค) รายงานผลการประเมิน</t>
  </si>
  <si>
    <t>(35)</t>
  </si>
  <si>
    <t>(25)</t>
  </si>
  <si>
    <t>(22)</t>
  </si>
  <si>
    <t>(20)</t>
  </si>
  <si>
    <t>(15)</t>
  </si>
  <si>
    <t>(10)</t>
  </si>
  <si>
    <t>(7.5)</t>
  </si>
  <si>
    <t>(13)</t>
  </si>
  <si>
    <t>(27.5)</t>
  </si>
  <si>
    <t>(ร้อยละ)</t>
  </si>
  <si>
    <t>ปริมาณ</t>
  </si>
  <si>
    <t>คุณภาพ</t>
  </si>
  <si>
    <t>ผลงานสร้างสรรค์</t>
  </si>
  <si>
    <t>(ก) หัวข้อ</t>
  </si>
  <si>
    <t>การประเมิน</t>
  </si>
  <si>
    <t>(ฎ) สรุปคะแนนด้านสมรรถนะในการปฏิบัติงาน = ผลรวมของ (4)+(5)</t>
  </si>
  <si>
    <t>จน.ชม.</t>
  </si>
  <si>
    <r>
      <t xml:space="preserve">      </t>
    </r>
    <r>
      <rPr>
        <b/>
        <sz val="14"/>
        <rFont val="TH SarabunPSK"/>
        <family val="2"/>
      </rPr>
      <t>ทั้งนี้ ภาระงานเชิงปริมาณของอาจารย์ประจำรายบุคคลให้เป็นไปตามข้อตกลงร่วมกันระหว่างอาจารย์ประจำและคณบดีหรือหัวหน้าหน่วยงานที่เรียกชื่ออย่างอื่นที่มีฐานะเทียบเท่าคณะ</t>
    </r>
    <r>
      <rPr>
        <b/>
        <sz val="14"/>
        <color rgb="FFFF0000"/>
        <rFont val="TH SarabunPSK"/>
        <family val="2"/>
      </rPr>
      <t xml:space="preserve"> 
</t>
    </r>
    <r>
      <rPr>
        <b/>
        <u/>
        <sz val="14"/>
        <color rgb="FFFF0000"/>
        <rFont val="TH SarabunPSK"/>
        <family val="2"/>
      </rPr>
      <t>ซึ่งอาจจะไม่เป็นไปตามภาระงานขั้นต่ำที่กำหนดข้างต้น แต่ภาพรวมในระดับคณะหรือหน่วยงานที่เรียกชื่ออย่างอื่นที่มีฐานะเทียบเท่าคณะ ต้องมีค่าเฉลี่ยภาระงานเชิงปริมาณไม่น้อยกว่า
ภาระงานขั้นต่ำมหาวิทยาลัยที่กำหนด</t>
    </r>
  </si>
  <si>
    <r>
      <t xml:space="preserve">         3.2 ผลงานสร้างสรรค์ด้านสุทรียะ ศิลปะ </t>
    </r>
    <r>
      <rPr>
        <b/>
        <sz val="10"/>
        <color rgb="FFFF0000"/>
        <rFont val="Arial"/>
        <family val="2"/>
      </rPr>
      <t>(รูปแบบ การเผยแพร่ และคุณภาพเป็นไปตามหลักเกณฑ์ที่ ก.พ.อ. กำหนด)</t>
    </r>
  </si>
  <si>
    <t>แบบข้อตกลงภาระงานและพฤติกรรมการปฏิบัติราชการ (Term of Reference :TOR)</t>
  </si>
  <si>
    <t>4. ให้มีการใช้โปรแกรมคำนวณภาระงานสายวิชาการ (APS. V.4.4_ข้าราชการ) ในการคำนวณภาระงานตามพันธกิจ</t>
  </si>
  <si>
    <t>แบบรายงานภาระงานตามข้อตกลงและแบบประเมินผลการปฏิบัติราชการ</t>
  </si>
  <si>
    <t>รอบการประเมินที่</t>
  </si>
  <si>
    <t>วันที่เริ่มต้น</t>
  </si>
  <si>
    <t xml:space="preserve">1. กรุณากรอกข้อมูล "ส่วนที่ 1 ข้อมูลส่วนบุคคล" ใน Sheet แบบข้อตกลง (TOR) </t>
  </si>
  <si>
    <t xml:space="preserve">   เพื่อกำหนดเป็นค่าเริ่มต้นของแบบฟอร์ม</t>
  </si>
  <si>
    <t>2. เลือกรอบการประเมินที่รายงานผลการปฏิบัติงานในช่องสีน้ำเงิน</t>
  </si>
  <si>
    <t xml:space="preserve">    โปรแกรมจะเปลี่ยนวันที่รายงานผลการประเมินโดยอัตโนมัติ</t>
  </si>
  <si>
    <r>
      <t xml:space="preserve">โปรแกรมการคำนวณภาระงานสายวิชาการ </t>
    </r>
    <r>
      <rPr>
        <b/>
        <sz val="12"/>
        <color rgb="FF0000CC"/>
        <rFont val="Arial"/>
        <family val="2"/>
      </rPr>
      <t>(APS v.4.4 ข้าราชการ)</t>
    </r>
    <r>
      <rPr>
        <b/>
        <sz val="12"/>
        <color indexed="12"/>
        <rFont val="Arial"/>
        <family val="2"/>
      </rPr>
      <t xml:space="preserve">  มหาวิทยาลัยแม่โจ้</t>
    </r>
  </si>
  <si>
    <t>จำนวนชั่วโมงทำการ/สัปดาห์/ภาคการศึกษา ตามรายงานภาระงาน</t>
  </si>
  <si>
    <t>แต่งกายพื้นเมือง (นับไม่เกิน 15 ครั้ง)</t>
  </si>
  <si>
    <r>
      <t xml:space="preserve">         3.1 ผลงานสร้างสรรค์ด้านวิทยาศาสตร์และเทคโนโลยี </t>
    </r>
    <r>
      <rPr>
        <b/>
        <sz val="10"/>
        <color rgb="FFFF0000"/>
        <rFont val="Arial"/>
        <family val="2"/>
      </rPr>
      <t>(รูปแบบ การเผยแพร่ และคุณภาพเป็นไปตามหลักเกณฑ์ที่ ก.พ.อ. กำหนด)</t>
    </r>
  </si>
  <si>
    <t>พนักงานส่วนงาน</t>
  </si>
  <si>
    <t>ข้าราชการ</t>
  </si>
  <si>
    <t>3.1 ภาระงานเชิงยุทธศาสตร์</t>
  </si>
  <si>
    <t>1) ระดับหลักสูตร</t>
  </si>
  <si>
    <t>2) ระดับบุคคล</t>
  </si>
  <si>
    <t>3.2 ผลการประเมินการประกันคุณภาพ</t>
  </si>
  <si>
    <t>ผลการประเมินการประกันคุณภาพระดับคณะ</t>
  </si>
  <si>
    <t>ประจำปี......</t>
  </si>
  <si>
    <t>3.3 งานอื่น ๆ ที่ได้รับมอบหมาย</t>
  </si>
  <si>
    <t>2) ระดับคณะ/มหาวิทยาลัย</t>
  </si>
  <si>
    <t>2.1 ระดับหลักสูตร</t>
  </si>
  <si>
    <t>2.2 ระดับคณะ</t>
  </si>
  <si>
    <t>รองผู้อำนวยการหน่วยงานวิสาหกิจ/ผู้อำนวยการหน่วยงานวิสาหกิจระดับคณะ</t>
  </si>
  <si>
    <t>บุคคล</t>
  </si>
  <si>
    <t>ประกัน</t>
  </si>
  <si>
    <t>1/2564</t>
  </si>
  <si>
    <t>2/2564</t>
  </si>
  <si>
    <t>1 ตุลาคม 2563</t>
  </si>
  <si>
    <t>1 เมษายน 2564</t>
  </si>
  <si>
    <t>31 มีนาคม 2564</t>
  </si>
  <si>
    <t>30 กันยายน 2564</t>
  </si>
  <si>
    <t>รอบการประเมินปี 2564 (1 ตุลาคม 2563 - 30 กันยายน 2564)</t>
  </si>
  <si>
    <t xml:space="preserve"> (รอบการประเมิน 1/2564 ใช้ภาระงานสอนของเทอม 2/2563 คือ พฤศจิกายน 2563 - 31 มีนาคม 2564</t>
  </si>
  <si>
    <t xml:space="preserve">  รอบการประเมิน 2/2564 ใช้ภาระงานสอนของเทอม 1/2564 คือ มิถุนายน 2564 - ตุลาคม 2564)</t>
  </si>
  <si>
    <t>(ภาระงานตั้งแต่วันที่ 1 ตุลาคม 2563 - 30 กันยายน 2564 สามารถใช้อ้างอิงเป็นภาระงานทั้ง 2 รอบการประเมิน))</t>
  </si>
  <si>
    <r>
      <t xml:space="preserve">มีโครงการวิจัยที่กำลังดำเนินการ
</t>
    </r>
    <r>
      <rPr>
        <sz val="9"/>
        <color rgb="FFC00000"/>
        <rFont val="Arial"/>
        <family val="2"/>
      </rPr>
      <t>(นับทุกโครงการวิจัยที่ทำสัญญาตั้งแต่/อยู่ระหว่างรอบการประเมินวันที่ 1 ตุลาคม 2563 จนถึงวันที่ 30 กันยายน 2564)</t>
    </r>
  </si>
  <si>
    <t>**นับทุกโครงการวิจัยที่ทำสัญญาตั้งแต่/อยู่ระหว่างรอบการประเมินวันที่ 1 ตุลาคม 2563 จนถึงวันที่ 30 กันยายน 2564**</t>
  </si>
  <si>
    <t>**นับทุกโครงการวิจัยที่คณะอนุมัติ/รับทราบตั้งแต่วันที่ 1 ตุลาคม 2563 จนถึงวันที่ 30 กันยายน 2564**</t>
  </si>
  <si>
    <r>
      <t xml:space="preserve">มีการรายงานผลการดำเนินการของรายวิชา (มคอ.5) ทุกจำนวนรายวิชาที่สอน </t>
    </r>
    <r>
      <rPr>
        <u/>
        <sz val="10"/>
        <color rgb="FFFF0000"/>
        <rFont val="Arial"/>
        <family val="2"/>
      </rPr>
      <t>ในภาคการศึกษาที่ 1/2563 และภาคการศึกษาที่ 2/2563</t>
    </r>
    <r>
      <rPr>
        <sz val="10"/>
        <rFont val="Arial"/>
        <family val="2"/>
      </rPr>
      <t xml:space="preserve"> โดยมีการจัดทำตามรูปแบบและส่งตามระยะเวลาที่มหาวิทยาลัยกำหนด</t>
    </r>
  </si>
  <si>
    <r>
      <t>มีผลการประเมินความพึงพอใจของนักศึกษาต่ออาจารย์ผู้สอนทุกกลุ่ม/รายวิชาของ</t>
    </r>
    <r>
      <rPr>
        <u/>
        <sz val="10"/>
        <color rgb="FFFF0000"/>
        <rFont val="Arial"/>
        <family val="2"/>
      </rPr>
      <t>ภาคการศึกษาที่ 1/2563 และภาคการศึกษาที่ 2/2563</t>
    </r>
    <r>
      <rPr>
        <sz val="10"/>
        <rFont val="Arial"/>
        <family val="2"/>
      </rPr>
      <t xml:space="preserve"> ในระดับดีขึ้นไป
</t>
    </r>
  </si>
  <si>
    <r>
      <rPr>
        <sz val="10"/>
        <rFont val="Arial"/>
        <family val="2"/>
      </rPr>
      <t xml:space="preserve">มีการรายงานผลการดำเนินการของรายวิชา (มคอ.5) ทุกจำนวนรายวิชาที่สอน </t>
    </r>
    <r>
      <rPr>
        <u/>
        <sz val="10"/>
        <color rgb="FFFF0000"/>
        <rFont val="Arial"/>
        <family val="2"/>
      </rPr>
      <t>ในภาคการศึกษาที่ 1/2563 และ ภาคการศึกษาที่ 2/2563</t>
    </r>
    <r>
      <rPr>
        <sz val="10"/>
        <rFont val="Arial"/>
        <family val="2"/>
      </rPr>
      <t xml:space="preserve"> โดยมีการจัดทำตามรูปแบบและส่งตามระยะเวลาที่มหาวิทยาลัยกำหนด</t>
    </r>
  </si>
  <si>
    <r>
      <rPr>
        <sz val="10"/>
        <rFont val="Arial"/>
        <family val="2"/>
      </rPr>
      <t>มีผลการประเมินความพึงพอใจของนักศึกษาต่ออาจารย์ผู้สอนทุกกลุ่ม/รายวิชาของ</t>
    </r>
    <r>
      <rPr>
        <u/>
        <sz val="10"/>
        <color rgb="FFFF0000"/>
        <rFont val="Arial"/>
        <family val="2"/>
      </rPr>
      <t>ภาคการศึกษาที่ 1/2563 และภาคการศึกษาที่ 2/2563</t>
    </r>
    <r>
      <rPr>
        <sz val="10"/>
        <rFont val="Arial"/>
        <family val="2"/>
      </rPr>
      <t xml:space="preserve"> ในระดับดีขึ้นไป (ผลการประเมินของทุกกลุ่ม/รายวิชาไม่น้อยกว่า 3.51 คะแนน)</t>
    </r>
  </si>
  <si>
    <t>(รอบการประเมิน 1/2564 ใช้ภาระงานตั้งแต่วันที่ 1 ตุลาคม 2563 - 31 มีนาคม 2564</t>
  </si>
  <si>
    <t xml:space="preserve"> รอบการประเมิน 2/2564 ใช้ภาระงานตั้งแต่วันที่ 1 เมษายน 2564 - 30 กันยายน 2564)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</si>
</sst>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87" formatCode="0.0"/>
    <numFmt numFmtId="188" formatCode="[$-1010000]dd/mm/yyyy;@"/>
    <numFmt numFmtId="189" formatCode="[$-1010000]m/d/yyyy;@"/>
    <numFmt numFmtId="190" formatCode="[$]dd/mm/yyyy;@"/>
    <numFmt numFmtId="191" formatCode="[$-1010000]d/m/yyyy;@"/>
  </numFmts>
  <fonts count="17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Niramit AS"/>
    </font>
    <font>
      <b/>
      <sz val="16"/>
      <name val="TH Niramit AS"/>
    </font>
    <font>
      <b/>
      <sz val="14"/>
      <color indexed="10"/>
      <name val="TH Niramit AS"/>
    </font>
    <font>
      <sz val="14"/>
      <name val="TH Niramit AS"/>
    </font>
    <font>
      <sz val="13"/>
      <name val="TH Niramit AS"/>
    </font>
    <font>
      <sz val="12"/>
      <name val="TH Niramit AS"/>
    </font>
    <font>
      <b/>
      <sz val="14"/>
      <name val="TH Niramit AS"/>
    </font>
    <font>
      <sz val="14"/>
      <name val="Cordia New"/>
      <family val="2"/>
    </font>
    <font>
      <sz val="10"/>
      <name val="Arial"/>
      <family val="2"/>
    </font>
    <font>
      <b/>
      <u/>
      <sz val="14"/>
      <name val="TH Niramit AS"/>
    </font>
    <font>
      <b/>
      <u/>
      <sz val="14"/>
      <color rgb="FF0000CC"/>
      <name val="TH Niramit AS"/>
    </font>
    <font>
      <b/>
      <sz val="10"/>
      <name val="Arial"/>
      <family val="2"/>
    </font>
    <font>
      <b/>
      <sz val="11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sz val="11"/>
      <color theme="1"/>
      <name val="TH Niramit AS"/>
    </font>
    <font>
      <sz val="14"/>
      <color theme="1"/>
      <name val="TH Niramit AS"/>
    </font>
    <font>
      <sz val="12"/>
      <color rgb="FFFF0000"/>
      <name val="TH Niramit AS"/>
    </font>
    <font>
      <sz val="13"/>
      <color indexed="12"/>
      <name val="TH Niramit AS"/>
    </font>
    <font>
      <sz val="14"/>
      <color indexed="12"/>
      <name val="TH Niramit AS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9"/>
      <name val="Century Gothic"/>
      <family val="2"/>
    </font>
    <font>
      <b/>
      <sz val="14"/>
      <name val="Arial"/>
      <family val="2"/>
    </font>
    <font>
      <sz val="10"/>
      <color rgb="FFC00000"/>
      <name val="Arial"/>
      <family val="2"/>
    </font>
    <font>
      <sz val="11"/>
      <color theme="3" tint="0.59999389629810485"/>
      <name val="Arial"/>
      <family val="2"/>
    </font>
    <font>
      <b/>
      <sz val="11"/>
      <color rgb="FF008000"/>
      <name val="Arial"/>
      <family val="2"/>
    </font>
    <font>
      <b/>
      <sz val="8"/>
      <name val="Arial"/>
      <family val="2"/>
    </font>
    <font>
      <b/>
      <sz val="10"/>
      <color rgb="FF0000CC"/>
      <name val="Arial"/>
      <family val="2"/>
    </font>
    <font>
      <sz val="11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sz val="10"/>
      <color rgb="FFB86E0C"/>
      <name val="Arial"/>
      <family val="2"/>
    </font>
    <font>
      <sz val="10"/>
      <color rgb="FF0000CC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0"/>
      <color rgb="FF4D4D4D"/>
      <name val="Arial"/>
      <family val="2"/>
    </font>
    <font>
      <sz val="10"/>
      <color theme="4" tint="0.79998168889431442"/>
      <name val="Arial"/>
      <family val="2"/>
    </font>
    <font>
      <b/>
      <sz val="11"/>
      <color indexed="12"/>
      <name val="Arial"/>
      <family val="2"/>
    </font>
    <font>
      <sz val="11"/>
      <color indexed="60"/>
      <name val="Arial"/>
      <family val="2"/>
    </font>
    <font>
      <b/>
      <sz val="11"/>
      <color indexed="60"/>
      <name val="Arial"/>
      <family val="2"/>
    </font>
    <font>
      <sz val="11"/>
      <color theme="4" tint="0.79998168889431442"/>
      <name val="Arial"/>
      <family val="2"/>
    </font>
    <font>
      <sz val="9"/>
      <color theme="9" tint="-0.499984740745262"/>
      <name val="Arial"/>
      <family val="2"/>
    </font>
    <font>
      <sz val="11"/>
      <color rgb="FFFF0000"/>
      <name val="Arial"/>
      <family val="2"/>
    </font>
    <font>
      <b/>
      <sz val="11"/>
      <color indexed="17"/>
      <name val="Arial"/>
      <family val="2"/>
    </font>
    <font>
      <sz val="11"/>
      <color rgb="FF0000CC"/>
      <name val="Arial"/>
      <family val="2"/>
    </font>
    <font>
      <sz val="9"/>
      <color rgb="FFFF0000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sz val="9"/>
      <color theme="9" tint="-0.249977111117893"/>
      <name val="Arial"/>
      <family val="2"/>
    </font>
    <font>
      <sz val="11"/>
      <color rgb="FF4D4D4D"/>
      <name val="Arial"/>
      <family val="2"/>
    </font>
    <font>
      <b/>
      <sz val="9"/>
      <color rgb="FF0000CC"/>
      <name val="Arial"/>
      <family val="2"/>
    </font>
    <font>
      <sz val="12"/>
      <name val="Arial"/>
      <family val="2"/>
    </font>
    <font>
      <sz val="10"/>
      <name val="Tahoma"/>
      <family val="2"/>
    </font>
    <font>
      <sz val="11"/>
      <name val="Tahoma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4"/>
      <color indexed="17"/>
      <name val="Arial"/>
      <family val="2"/>
    </font>
    <font>
      <sz val="10"/>
      <color indexed="8"/>
      <name val="Arial"/>
      <family val="2"/>
    </font>
    <font>
      <sz val="10"/>
      <color rgb="FFFF0000"/>
      <name val="Tahoma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b/>
      <sz val="9"/>
      <color rgb="FF0000FF"/>
      <name val="Arial"/>
      <family val="2"/>
    </font>
    <font>
      <sz val="8"/>
      <color theme="9" tint="-0.249977111117893"/>
      <name val="Arial"/>
      <family val="2"/>
    </font>
    <font>
      <sz val="8"/>
      <name val="Arial"/>
      <family val="2"/>
    </font>
    <font>
      <sz val="9"/>
      <color rgb="FF0000FF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  <font>
      <sz val="10"/>
      <color indexed="53"/>
      <name val="Arial"/>
      <family val="2"/>
    </font>
    <font>
      <b/>
      <u/>
      <sz val="10"/>
      <color indexed="16"/>
      <name val="Arial"/>
      <family val="2"/>
    </font>
    <font>
      <u/>
      <sz val="9"/>
      <color indexed="81"/>
      <name val="Tahoma"/>
      <family val="2"/>
    </font>
    <font>
      <b/>
      <u/>
      <sz val="11"/>
      <color rgb="FFFF0000"/>
      <name val="Arial"/>
      <family val="2"/>
    </font>
    <font>
      <b/>
      <u/>
      <sz val="10"/>
      <color rgb="FFFF000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sz val="9"/>
      <color rgb="FFC00000"/>
      <name val="Arial"/>
      <family val="2"/>
    </font>
    <font>
      <b/>
      <sz val="11"/>
      <color theme="3" tint="0.59999389629810485"/>
      <name val="Arial"/>
      <family val="2"/>
    </font>
    <font>
      <b/>
      <sz val="9"/>
      <color indexed="12"/>
      <name val="Arial"/>
      <family val="2"/>
    </font>
    <font>
      <b/>
      <i/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theme="0" tint="-0.249977111117893"/>
      <name val="Arial"/>
      <family val="2"/>
    </font>
    <font>
      <b/>
      <sz val="10"/>
      <color theme="0"/>
      <name val="Arial"/>
      <family val="2"/>
    </font>
    <font>
      <sz val="8"/>
      <color theme="9" tint="-0.499984740745262"/>
      <name val="Arial"/>
      <family val="2"/>
    </font>
    <font>
      <sz val="9"/>
      <color rgb="FFB86E0C"/>
      <name val="Arial"/>
      <family val="2"/>
    </font>
    <font>
      <sz val="9"/>
      <color rgb="FF0000CC"/>
      <name val="Arial"/>
      <family val="2"/>
    </font>
    <font>
      <sz val="8"/>
      <color theme="4" tint="0.79998168889431442"/>
      <name val="Arial"/>
      <family val="2"/>
    </font>
    <font>
      <sz val="8"/>
      <color rgb="FFB86E0C"/>
      <name val="Arial"/>
      <family val="2"/>
    </font>
    <font>
      <b/>
      <u/>
      <sz val="14"/>
      <color indexed="12"/>
      <name val="Arial"/>
      <family val="2"/>
    </font>
    <font>
      <sz val="10"/>
      <color theme="0" tint="-0.249977111117893"/>
      <name val="Arial"/>
      <family val="2"/>
    </font>
    <font>
      <b/>
      <sz val="13"/>
      <name val="Arial"/>
      <family val="2"/>
    </font>
    <font>
      <sz val="9"/>
      <color indexed="10"/>
      <name val="Arial"/>
      <family val="2"/>
    </font>
    <font>
      <b/>
      <u/>
      <sz val="10"/>
      <color rgb="FF0000FF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b/>
      <sz val="12"/>
      <color indexed="17"/>
      <name val="Arial"/>
      <family val="2"/>
    </font>
    <font>
      <b/>
      <i/>
      <sz val="9"/>
      <name val="Arial"/>
      <family val="2"/>
    </font>
    <font>
      <b/>
      <sz val="10"/>
      <color rgb="FFC00000"/>
      <name val="Arial"/>
      <family val="2"/>
    </font>
    <font>
      <b/>
      <sz val="12"/>
      <color rgb="FF0000CC"/>
      <name val="Arial"/>
      <family val="2"/>
    </font>
    <font>
      <u/>
      <sz val="10"/>
      <color rgb="FFFF0000"/>
      <name val="Arial"/>
      <family val="2"/>
    </font>
    <font>
      <sz val="11"/>
      <color rgb="FFC00000"/>
      <name val="Arial"/>
      <family val="2"/>
    </font>
    <font>
      <b/>
      <sz val="16"/>
      <name val="TH SarabunPSK"/>
      <family val="2"/>
    </font>
    <font>
      <sz val="13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000000"/>
      <name val="TH SarabunPSK"/>
      <family val="2"/>
    </font>
    <font>
      <b/>
      <sz val="14"/>
      <color rgb="FFFF0000"/>
      <name val="TH SarabunPSK"/>
      <family val="2"/>
    </font>
    <font>
      <b/>
      <u/>
      <sz val="14"/>
      <color rgb="FFFF0000"/>
      <name val="TH SarabunPSK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Wingdings 2"/>
      <family val="1"/>
      <charset val="2"/>
    </font>
    <font>
      <i/>
      <sz val="14"/>
      <name val="TH SarabunPSK"/>
      <family val="2"/>
    </font>
    <font>
      <b/>
      <sz val="14"/>
      <color indexed="10"/>
      <name val="TH SarabunPSK"/>
      <family val="2"/>
    </font>
    <font>
      <sz val="16"/>
      <name val="TH SarabunPSK"/>
      <family val="2"/>
    </font>
    <font>
      <sz val="11"/>
      <color theme="0" tint="-0.34998626667073579"/>
      <name val="TH SarabunPSK"/>
      <family val="2"/>
    </font>
    <font>
      <u/>
      <sz val="13"/>
      <name val="TH SarabunPSK"/>
      <family val="2"/>
    </font>
    <font>
      <b/>
      <u/>
      <sz val="14"/>
      <color rgb="FF0000CC"/>
      <name val="TH SarabunPSK"/>
      <family val="2"/>
    </font>
    <font>
      <b/>
      <sz val="12"/>
      <color indexed="8"/>
      <name val="TH SarabunPSK"/>
      <family val="2"/>
    </font>
    <font>
      <b/>
      <u/>
      <sz val="13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3"/>
      <name val="TH SarabunPSK"/>
      <family val="2"/>
    </font>
    <font>
      <b/>
      <sz val="12"/>
      <color rgb="FFFF0000"/>
      <name val="TH SarabunPSK"/>
      <family val="2"/>
    </font>
    <font>
      <b/>
      <sz val="11"/>
      <name val="TH SarabunPSK"/>
      <family val="2"/>
    </font>
    <font>
      <b/>
      <sz val="14"/>
      <color rgb="FF006600"/>
      <name val="TH SarabunPSK"/>
      <family val="2"/>
    </font>
    <font>
      <sz val="12"/>
      <name val="TH SarabunPSK"/>
      <family val="2"/>
    </font>
    <font>
      <u/>
      <sz val="14"/>
      <name val="TH SarabunPSK"/>
      <family val="2"/>
    </font>
    <font>
      <sz val="13"/>
      <color rgb="FFFF0000"/>
      <name val="TH SarabunPSK"/>
      <family val="2"/>
    </font>
    <font>
      <sz val="13"/>
      <color theme="0"/>
      <name val="TH SarabunPSK"/>
      <family val="2"/>
    </font>
    <font>
      <sz val="11"/>
      <name val="TH SarabunPSK"/>
      <family val="2"/>
    </font>
    <font>
      <b/>
      <u/>
      <sz val="8"/>
      <color rgb="FF0000CC"/>
      <name val="TH SarabunPSK"/>
      <family val="2"/>
    </font>
    <font>
      <sz val="14"/>
      <color theme="6" tint="0.79998168889431442"/>
      <name val="TH SarabunPSK"/>
      <family val="2"/>
    </font>
    <font>
      <sz val="10"/>
      <name val="TH SarabunPSK"/>
      <family val="2"/>
    </font>
    <font>
      <sz val="12"/>
      <color rgb="FFFF0000"/>
      <name val="TH SarabunPSK"/>
      <family val="2"/>
    </font>
    <font>
      <sz val="14"/>
      <color indexed="8"/>
      <name val="TH SarabunPSK"/>
      <family val="2"/>
    </font>
    <font>
      <sz val="13"/>
      <color indexed="12"/>
      <name val="TH SarabunPSK"/>
      <family val="2"/>
    </font>
    <font>
      <sz val="14"/>
      <color indexed="12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color indexed="10"/>
      <name val="TH SarabunPSK"/>
      <family val="2"/>
    </font>
    <font>
      <sz val="13"/>
      <color indexed="10"/>
      <name val="TH SarabunPSK"/>
      <family val="2"/>
    </font>
    <font>
      <sz val="16"/>
      <color indexed="10"/>
      <name val="TH SarabunPSK"/>
      <family val="2"/>
    </font>
    <font>
      <i/>
      <u/>
      <sz val="13"/>
      <name val="TH SarabunPSK"/>
      <family val="2"/>
    </font>
    <font>
      <i/>
      <sz val="13"/>
      <name val="TH SarabunPSK"/>
      <family val="2"/>
    </font>
    <font>
      <b/>
      <sz val="14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sz val="14"/>
      <color rgb="FF0000CC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0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CC"/>
      </left>
      <right/>
      <top style="medium">
        <color rgb="FF0000CC"/>
      </top>
      <bottom style="medium">
        <color rgb="FF0000CC"/>
      </bottom>
      <diagonal/>
    </border>
    <border>
      <left/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 style="medium">
        <color rgb="FF0000CC"/>
      </left>
      <right/>
      <top style="medium">
        <color rgb="FF0000CC"/>
      </top>
      <bottom style="medium">
        <color rgb="FFFF0000"/>
      </bottom>
      <diagonal/>
    </border>
    <border>
      <left/>
      <right style="medium">
        <color rgb="FF0000CC"/>
      </right>
      <top style="medium">
        <color rgb="FF0000CC"/>
      </top>
      <bottom style="medium">
        <color rgb="FFFF0000"/>
      </bottom>
      <diagonal/>
    </border>
    <border>
      <left style="thin">
        <color indexed="64"/>
      </left>
      <right/>
      <top/>
      <bottom style="medium">
        <color rgb="FF0000CC"/>
      </bottom>
      <diagonal/>
    </border>
    <border>
      <left/>
      <right style="thin">
        <color indexed="64"/>
      </right>
      <top/>
      <bottom style="medium">
        <color rgb="FF0000CC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/>
      <top style="thin">
        <color rgb="FF0000CC"/>
      </top>
      <bottom style="thin">
        <color rgb="FF0000CC"/>
      </bottom>
      <diagonal/>
    </border>
    <border>
      <left/>
      <right/>
      <top style="thin">
        <color rgb="FF0000CC"/>
      </top>
      <bottom style="thin">
        <color rgb="FF0000CC"/>
      </bottom>
      <diagonal/>
    </border>
    <border>
      <left/>
      <right style="thin">
        <color rgb="FF0000CC"/>
      </right>
      <top style="thin">
        <color rgb="FF0000CC"/>
      </top>
      <bottom style="thin">
        <color rgb="FF0000CC"/>
      </bottom>
      <diagonal/>
    </border>
    <border>
      <left/>
      <right/>
      <top/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auto="1"/>
      </top>
      <bottom style="thin">
        <color theme="1" tint="0.499984740745262"/>
      </bottom>
      <diagonal/>
    </border>
    <border>
      <left/>
      <right/>
      <top style="thin">
        <color auto="1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auto="1"/>
      </bottom>
      <diagonal/>
    </border>
    <border>
      <left/>
      <right/>
      <top style="thin">
        <color theme="1" tint="0.499984740745262"/>
      </top>
      <bottom style="thin">
        <color auto="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 style="thin">
        <color auto="1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auto="1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0" tint="-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rgb="FFCC6600"/>
      </left>
      <right style="thin">
        <color rgb="FFCC6600"/>
      </right>
      <top style="thin">
        <color rgb="FFCC6600"/>
      </top>
      <bottom style="thin">
        <color rgb="FFCC6600"/>
      </bottom>
      <diagonal/>
    </border>
    <border>
      <left style="thin">
        <color rgb="FFCC6600"/>
      </left>
      <right/>
      <top style="thin">
        <color rgb="FFCC6600"/>
      </top>
      <bottom style="thin">
        <color rgb="FFCC6600"/>
      </bottom>
      <diagonal/>
    </border>
    <border>
      <left/>
      <right/>
      <top style="thin">
        <color rgb="FFCC6600"/>
      </top>
      <bottom style="thin">
        <color rgb="FFCC6600"/>
      </bottom>
      <diagonal/>
    </border>
    <border>
      <left/>
      <right style="thin">
        <color rgb="FFCC6600"/>
      </right>
      <top style="thin">
        <color rgb="FFCC6600"/>
      </top>
      <bottom style="thin">
        <color rgb="FFCC6600"/>
      </bottom>
      <diagonal/>
    </border>
    <border>
      <left/>
      <right/>
      <top style="thin">
        <color rgb="FFFF0000"/>
      </top>
      <bottom/>
      <diagonal/>
    </border>
    <border>
      <left style="thin">
        <color theme="1"/>
      </left>
      <right/>
      <top style="thin">
        <color auto="1"/>
      </top>
      <bottom/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 style="medium">
        <color rgb="FF0000CC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CC"/>
      </left>
      <right/>
      <top style="medium">
        <color rgb="FF0000CC"/>
      </top>
      <bottom style="hair">
        <color indexed="64"/>
      </bottom>
      <diagonal/>
    </border>
    <border>
      <left/>
      <right style="medium">
        <color rgb="FF0000CC"/>
      </right>
      <top style="medium">
        <color rgb="FF0000CC"/>
      </top>
      <bottom style="hair">
        <color indexed="64"/>
      </bottom>
      <diagonal/>
    </border>
    <border>
      <left style="medium">
        <color rgb="FF0000CC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0000CC"/>
      </right>
      <top style="hair">
        <color indexed="64"/>
      </top>
      <bottom style="hair">
        <color indexed="64"/>
      </bottom>
      <diagonal/>
    </border>
    <border>
      <left style="medium">
        <color rgb="FF0000CC"/>
      </left>
      <right/>
      <top style="hair">
        <color indexed="64"/>
      </top>
      <bottom style="medium">
        <color rgb="FF0000CC"/>
      </bottom>
      <diagonal/>
    </border>
    <border>
      <left/>
      <right style="medium">
        <color rgb="FF0000CC"/>
      </right>
      <top style="hair">
        <color indexed="64"/>
      </top>
      <bottom style="medium">
        <color rgb="FF0000CC"/>
      </bottom>
      <diagonal/>
    </border>
    <border>
      <left/>
      <right style="medium">
        <color rgb="FF0000CC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theme="1"/>
      </right>
      <top/>
      <bottom/>
      <diagonal/>
    </border>
    <border>
      <left style="medium">
        <color rgb="FF0000CC"/>
      </left>
      <right/>
      <top style="medium">
        <color rgb="FF0000CC"/>
      </top>
      <bottom style="thin">
        <color indexed="64"/>
      </bottom>
      <diagonal/>
    </border>
    <border>
      <left/>
      <right style="medium">
        <color rgb="FF0000CC"/>
      </right>
      <top style="medium">
        <color rgb="FF0000CC"/>
      </top>
      <bottom style="thin">
        <color indexed="64"/>
      </bottom>
      <diagonal/>
    </border>
    <border>
      <left style="medium">
        <color rgb="FF0000CC"/>
      </left>
      <right/>
      <top style="thin">
        <color indexed="64"/>
      </top>
      <bottom/>
      <diagonal/>
    </border>
    <border>
      <left/>
      <right style="medium">
        <color rgb="FF0000CC"/>
      </right>
      <top style="thin">
        <color indexed="64"/>
      </top>
      <bottom/>
      <diagonal/>
    </border>
    <border>
      <left style="medium">
        <color rgb="FF0000CC"/>
      </left>
      <right style="medium">
        <color rgb="FF0000CC"/>
      </right>
      <top style="thin">
        <color indexed="64"/>
      </top>
      <bottom/>
      <diagonal/>
    </border>
    <border>
      <left style="medium">
        <color rgb="FF0000CC"/>
      </left>
      <right/>
      <top style="thin">
        <color indexed="64"/>
      </top>
      <bottom style="hair">
        <color indexed="64"/>
      </bottom>
      <diagonal/>
    </border>
    <border>
      <left/>
      <right style="medium">
        <color rgb="FF0000CC"/>
      </right>
      <top style="thin">
        <color indexed="64"/>
      </top>
      <bottom style="hair">
        <color indexed="64"/>
      </bottom>
      <diagonal/>
    </border>
    <border>
      <left style="medium">
        <color rgb="FF0000CC"/>
      </left>
      <right/>
      <top/>
      <bottom style="hair">
        <color indexed="64"/>
      </bottom>
      <diagonal/>
    </border>
    <border>
      <left/>
      <right style="medium">
        <color rgb="FF0000CC"/>
      </right>
      <top/>
      <bottom style="hair">
        <color indexed="64"/>
      </bottom>
      <diagonal/>
    </border>
    <border>
      <left style="medium">
        <color rgb="FF0000CC"/>
      </left>
      <right/>
      <top style="hair">
        <color indexed="64"/>
      </top>
      <bottom style="thin">
        <color indexed="64"/>
      </bottom>
      <diagonal/>
    </border>
    <border>
      <left/>
      <right style="medium">
        <color rgb="FF0000CC"/>
      </right>
      <top style="hair">
        <color indexed="64"/>
      </top>
      <bottom style="thin">
        <color indexed="64"/>
      </bottom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 style="hair">
        <color indexed="64"/>
      </bottom>
      <diagonal/>
    </border>
    <border>
      <left style="medium">
        <color rgb="FF0000CC"/>
      </left>
      <right style="medium">
        <color rgb="FF0000CC"/>
      </right>
      <top style="hair">
        <color indexed="64"/>
      </top>
      <bottom style="hair">
        <color indexed="64"/>
      </bottom>
      <diagonal/>
    </border>
    <border>
      <left style="medium">
        <color rgb="FF0000CC"/>
      </left>
      <right style="medium">
        <color rgb="FF0000CC"/>
      </right>
      <top style="hair">
        <color indexed="64"/>
      </top>
      <bottom style="thin">
        <color indexed="64"/>
      </bottom>
      <diagonal/>
    </border>
    <border>
      <left style="medium">
        <color rgb="FF0000CC"/>
      </left>
      <right style="medium">
        <color rgb="FF0000CC"/>
      </right>
      <top/>
      <bottom style="hair">
        <color indexed="64"/>
      </bottom>
      <diagonal/>
    </border>
    <border>
      <left style="medium">
        <color rgb="FF0000CC"/>
      </left>
      <right style="medium">
        <color rgb="FF0000CC"/>
      </right>
      <top style="thin">
        <color indexed="64"/>
      </top>
      <bottom style="hair">
        <color indexed="64"/>
      </bottom>
      <diagonal/>
    </border>
    <border>
      <left style="medium">
        <color rgb="FF0000CC"/>
      </left>
      <right style="medium">
        <color rgb="FF0000CC"/>
      </right>
      <top style="hair">
        <color indexed="64"/>
      </top>
      <bottom style="medium">
        <color rgb="FF0000CC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/>
      <diagonal/>
    </border>
    <border>
      <left style="medium">
        <color rgb="FF0000CC"/>
      </left>
      <right style="medium">
        <color rgb="FF0000CC"/>
      </right>
      <top/>
      <bottom style="medium">
        <color rgb="FF0000CC"/>
      </bottom>
      <diagonal/>
    </border>
    <border>
      <left style="thin">
        <color indexed="64"/>
      </left>
      <right style="medium">
        <color rgb="FF0000CC"/>
      </right>
      <top style="thin">
        <color indexed="64"/>
      </top>
      <bottom style="thin">
        <color indexed="64"/>
      </bottom>
      <diagonal/>
    </border>
    <border>
      <left style="medium">
        <color rgb="FF0000CC"/>
      </left>
      <right style="medium">
        <color rgb="FF0000CC"/>
      </right>
      <top style="thin">
        <color indexed="64"/>
      </top>
      <bottom style="thin">
        <color indexed="64"/>
      </bottom>
      <diagonal/>
    </border>
    <border>
      <left style="medium">
        <color rgb="FF0000CC"/>
      </left>
      <right style="thin">
        <color indexed="64"/>
      </right>
      <top/>
      <bottom style="thin">
        <color indexed="64"/>
      </bottom>
      <diagonal/>
    </border>
    <border>
      <left style="medium">
        <color rgb="FF0000CC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CC"/>
      </left>
      <right style="thin">
        <color indexed="64"/>
      </right>
      <top style="medium">
        <color rgb="FF0000CC"/>
      </top>
      <bottom style="medium">
        <color rgb="FF0000CC"/>
      </bottom>
      <diagonal/>
    </border>
    <border>
      <left style="thin">
        <color indexed="64"/>
      </left>
      <right style="medium">
        <color rgb="FF0000CC"/>
      </right>
      <top style="medium">
        <color rgb="FF0000CC"/>
      </top>
      <bottom style="medium">
        <color rgb="FF0000CC"/>
      </bottom>
      <diagonal/>
    </border>
  </borders>
  <cellStyleXfs count="12">
    <xf numFmtId="0" fontId="0" fillId="0" borderId="0"/>
    <xf numFmtId="0" fontId="2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71" fillId="0" borderId="0" applyNumberFormat="0" applyFill="0" applyBorder="0" applyAlignment="0" applyProtection="0"/>
  </cellStyleXfs>
  <cellXfs count="3165">
    <xf numFmtId="0" fontId="0" fillId="0" borderId="0" xfId="0"/>
    <xf numFmtId="0" fontId="2" fillId="0" borderId="0" xfId="1"/>
    <xf numFmtId="0" fontId="6" fillId="0" borderId="0" xfId="9" applyFont="1" applyProtection="1">
      <protection locked="0"/>
    </xf>
    <xf numFmtId="0" fontId="6" fillId="0" borderId="0" xfId="9" applyFont="1" applyBorder="1" applyProtection="1">
      <protection locked="0"/>
    </xf>
    <xf numFmtId="0" fontId="7" fillId="0" borderId="0" xfId="9" applyFont="1" applyBorder="1" applyAlignment="1" applyProtection="1">
      <protection locked="0"/>
    </xf>
    <xf numFmtId="0" fontId="6" fillId="0" borderId="0" xfId="9" applyFont="1" applyFill="1" applyProtection="1">
      <protection locked="0"/>
    </xf>
    <xf numFmtId="0" fontId="8" fillId="0" borderId="0" xfId="9" applyFont="1" applyProtection="1">
      <protection locked="0"/>
    </xf>
    <xf numFmtId="0" fontId="7" fillId="0" borderId="0" xfId="9" applyFont="1" applyAlignment="1" applyProtection="1">
      <alignment horizontal="center"/>
      <protection locked="0"/>
    </xf>
    <xf numFmtId="0" fontId="7" fillId="0" borderId="0" xfId="9" applyFont="1" applyProtection="1">
      <protection locked="0"/>
    </xf>
    <xf numFmtId="0" fontId="7" fillId="0" borderId="0" xfId="9" applyFont="1" applyBorder="1" applyAlignment="1" applyProtection="1">
      <alignment horizontal="center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0" xfId="9" applyFont="1" applyFill="1" applyBorder="1" applyProtection="1">
      <protection locked="0"/>
    </xf>
    <xf numFmtId="0" fontId="6" fillId="0" borderId="0" xfId="9" applyFont="1" applyFill="1" applyAlignment="1" applyProtection="1">
      <alignment vertical="top"/>
      <protection locked="0"/>
    </xf>
    <xf numFmtId="0" fontId="8" fillId="0" borderId="0" xfId="9" applyFont="1" applyFill="1" applyBorder="1" applyProtection="1">
      <protection locked="0"/>
    </xf>
    <xf numFmtId="0" fontId="8" fillId="0" borderId="0" xfId="9" applyFont="1" applyBorder="1" applyAlignment="1" applyProtection="1">
      <alignment horizontal="center" vertical="center"/>
      <protection locked="0"/>
    </xf>
    <xf numFmtId="0" fontId="8" fillId="0" borderId="0" xfId="9" applyFont="1" applyFill="1" applyProtection="1">
      <protection locked="0"/>
    </xf>
    <xf numFmtId="0" fontId="7" fillId="0" borderId="0" xfId="9" applyFont="1" applyFill="1" applyAlignment="1" applyProtection="1">
      <alignment horizontal="center"/>
      <protection locked="0"/>
    </xf>
    <xf numFmtId="0" fontId="7" fillId="0" borderId="0" xfId="9" applyFont="1" applyFill="1" applyProtection="1">
      <protection locked="0"/>
    </xf>
    <xf numFmtId="0" fontId="6" fillId="0" borderId="0" xfId="9" applyFont="1" applyProtection="1"/>
    <xf numFmtId="0" fontId="6" fillId="0" borderId="0" xfId="9" applyFont="1" applyBorder="1" applyProtection="1"/>
    <xf numFmtId="0" fontId="6" fillId="0" borderId="4" xfId="9" applyFont="1" applyFill="1" applyBorder="1" applyProtection="1"/>
    <xf numFmtId="0" fontId="3" fillId="6" borderId="3" xfId="9" applyFont="1" applyFill="1" applyBorder="1" applyProtection="1"/>
    <xf numFmtId="0" fontId="6" fillId="6" borderId="12" xfId="9" applyFont="1" applyFill="1" applyBorder="1" applyProtection="1"/>
    <xf numFmtId="0" fontId="6" fillId="6" borderId="9" xfId="9" applyFont="1" applyFill="1" applyBorder="1" applyProtection="1"/>
    <xf numFmtId="0" fontId="6" fillId="6" borderId="10" xfId="9" applyFont="1" applyFill="1" applyBorder="1" applyProtection="1"/>
    <xf numFmtId="0" fontId="6" fillId="0" borderId="0" xfId="9" applyFont="1" applyBorder="1" applyAlignment="1" applyProtection="1">
      <alignment vertical="top"/>
      <protection locked="0"/>
    </xf>
    <xf numFmtId="0" fontId="4" fillId="0" borderId="0" xfId="9" applyFont="1" applyAlignment="1" applyProtection="1">
      <protection locked="0"/>
    </xf>
    <xf numFmtId="0" fontId="4" fillId="0" borderId="0" xfId="9" applyFont="1" applyAlignment="1" applyProtection="1">
      <alignment horizontal="right"/>
      <protection locked="0"/>
    </xf>
    <xf numFmtId="0" fontId="7" fillId="0" borderId="0" xfId="9" applyFont="1" applyBorder="1" applyProtection="1">
      <protection locked="0"/>
    </xf>
    <xf numFmtId="0" fontId="9" fillId="0" borderId="0" xfId="9" applyFont="1" applyFill="1" applyBorder="1" applyAlignment="1" applyProtection="1">
      <protection locked="0"/>
    </xf>
    <xf numFmtId="0" fontId="9" fillId="0" borderId="0" xfId="9" applyFont="1" applyProtection="1">
      <protection locked="0"/>
    </xf>
    <xf numFmtId="0" fontId="6" fillId="0" borderId="0" xfId="9" applyFont="1" applyFill="1" applyBorder="1" applyAlignment="1" applyProtection="1">
      <alignment horizontal="center"/>
      <protection locked="0"/>
    </xf>
    <xf numFmtId="0" fontId="14" fillId="0" borderId="11" xfId="0" applyFont="1" applyBorder="1" applyAlignment="1">
      <alignment horizontal="center" vertical="top" wrapText="1"/>
    </xf>
    <xf numFmtId="0" fontId="0" fillId="0" borderId="0" xfId="0" applyAlignment="1"/>
    <xf numFmtId="0" fontId="14" fillId="0" borderId="11" xfId="0" applyFont="1" applyBorder="1" applyAlignment="1">
      <alignment horizontal="center" vertical="top"/>
    </xf>
    <xf numFmtId="0" fontId="14" fillId="0" borderId="11" xfId="0" applyFont="1" applyBorder="1" applyAlignment="1">
      <alignment vertical="top"/>
    </xf>
    <xf numFmtId="0" fontId="17" fillId="0" borderId="0" xfId="0" applyFont="1"/>
    <xf numFmtId="0" fontId="17" fillId="0" borderId="11" xfId="0" applyFont="1" applyBorder="1" applyAlignment="1">
      <alignment wrapText="1"/>
    </xf>
    <xf numFmtId="0" fontId="16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7" fillId="0" borderId="11" xfId="0" applyFont="1" applyBorder="1"/>
    <xf numFmtId="0" fontId="17" fillId="0" borderId="11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9" fillId="0" borderId="0" xfId="9" applyFont="1" applyFill="1" applyProtection="1">
      <protection locked="0"/>
    </xf>
    <xf numFmtId="0" fontId="8" fillId="0" borderId="0" xfId="9" applyFont="1" applyBorder="1" applyProtection="1">
      <protection locked="0"/>
    </xf>
    <xf numFmtId="0" fontId="7" fillId="0" borderId="0" xfId="9" applyFont="1" applyFill="1" applyBorder="1" applyAlignment="1" applyProtection="1">
      <alignment horizontal="center"/>
      <protection locked="0"/>
    </xf>
    <xf numFmtId="0" fontId="7" fillId="0" borderId="0" xfId="9" applyFont="1" applyFill="1" applyBorder="1" applyProtection="1">
      <protection locked="0"/>
    </xf>
    <xf numFmtId="0" fontId="6" fillId="0" borderId="2" xfId="9" applyFont="1" applyFill="1" applyBorder="1" applyAlignment="1" applyProtection="1">
      <alignment vertical="center"/>
      <protection locked="0"/>
    </xf>
    <xf numFmtId="0" fontId="6" fillId="0" borderId="2" xfId="9" applyFont="1" applyBorder="1" applyAlignment="1" applyProtection="1">
      <alignment vertical="center"/>
      <protection locked="0"/>
    </xf>
    <xf numFmtId="0" fontId="9" fillId="0" borderId="0" xfId="9" applyFont="1" applyFill="1" applyAlignment="1" applyProtection="1">
      <alignment vertical="top"/>
      <protection locked="0"/>
    </xf>
    <xf numFmtId="0" fontId="6" fillId="0" borderId="0" xfId="9" applyFont="1" applyAlignment="1" applyProtection="1">
      <alignment horizontal="center" vertical="top"/>
      <protection locked="0"/>
    </xf>
    <xf numFmtId="0" fontId="8" fillId="0" borderId="0" xfId="9" applyFont="1" applyFill="1" applyBorder="1" applyAlignment="1" applyProtection="1">
      <alignment horizontal="center"/>
      <protection locked="0"/>
    </xf>
    <xf numFmtId="0" fontId="3" fillId="0" borderId="0" xfId="1" applyFont="1" applyProtection="1"/>
    <xf numFmtId="0" fontId="6" fillId="0" borderId="0" xfId="1" applyFont="1" applyProtection="1"/>
    <xf numFmtId="0" fontId="6" fillId="0" borderId="0" xfId="1" applyFont="1" applyBorder="1" applyAlignment="1" applyProtection="1"/>
    <xf numFmtId="0" fontId="6" fillId="6" borderId="4" xfId="1" applyFont="1" applyFill="1" applyBorder="1" applyProtection="1"/>
    <xf numFmtId="0" fontId="6" fillId="6" borderId="31" xfId="1" applyFont="1" applyFill="1" applyBorder="1" applyProtection="1"/>
    <xf numFmtId="0" fontId="6" fillId="6" borderId="12" xfId="1" applyFont="1" applyFill="1" applyBorder="1" applyProtection="1"/>
    <xf numFmtId="0" fontId="6" fillId="6" borderId="0" xfId="1" applyFont="1" applyFill="1" applyBorder="1" applyProtection="1"/>
    <xf numFmtId="0" fontId="6" fillId="6" borderId="13" xfId="1" applyFont="1" applyFill="1" applyBorder="1" applyProtection="1"/>
    <xf numFmtId="0" fontId="6" fillId="0" borderId="0" xfId="1" applyFont="1" applyBorder="1" applyAlignment="1" applyProtection="1">
      <alignment horizontal="left"/>
    </xf>
    <xf numFmtId="49" fontId="6" fillId="0" borderId="0" xfId="1" applyNumberFormat="1" applyFont="1" applyBorder="1" applyAlignment="1" applyProtection="1">
      <alignment horizontal="center"/>
    </xf>
    <xf numFmtId="0" fontId="6" fillId="0" borderId="0" xfId="1" applyFont="1" applyBorder="1" applyProtection="1"/>
    <xf numFmtId="0" fontId="5" fillId="0" borderId="0" xfId="1" applyFont="1" applyBorder="1" applyAlignment="1" applyProtection="1"/>
    <xf numFmtId="0" fontId="3" fillId="0" borderId="0" xfId="1" applyFont="1" applyBorder="1" applyProtection="1"/>
    <xf numFmtId="0" fontId="6" fillId="6" borderId="9" xfId="1" applyFont="1" applyFill="1" applyBorder="1" applyProtection="1"/>
    <xf numFmtId="0" fontId="6" fillId="6" borderId="1" xfId="1" applyFont="1" applyFill="1" applyBorder="1" applyProtection="1"/>
    <xf numFmtId="0" fontId="6" fillId="6" borderId="10" xfId="1" applyFont="1" applyFill="1" applyBorder="1" applyProtection="1"/>
    <xf numFmtId="0" fontId="6" fillId="0" borderId="0" xfId="1" applyFont="1" applyAlignment="1" applyProtection="1">
      <alignment horizontal="center"/>
    </xf>
    <xf numFmtId="0" fontId="15" fillId="0" borderId="11" xfId="1" applyFont="1" applyBorder="1" applyAlignment="1" applyProtection="1">
      <alignment horizontal="center"/>
    </xf>
    <xf numFmtId="0" fontId="15" fillId="0" borderId="0" xfId="1" applyFont="1" applyBorder="1" applyAlignment="1" applyProtection="1">
      <alignment horizontal="center"/>
    </xf>
    <xf numFmtId="0" fontId="15" fillId="0" borderId="0" xfId="1" applyFont="1" applyBorder="1" applyAlignment="1" applyProtection="1"/>
    <xf numFmtId="0" fontId="6" fillId="0" borderId="12" xfId="1" applyFont="1" applyBorder="1" applyAlignment="1" applyProtection="1">
      <alignment horizontal="center"/>
    </xf>
    <xf numFmtId="0" fontId="6" fillId="0" borderId="4" xfId="1" applyFont="1" applyFill="1" applyBorder="1" applyProtection="1"/>
    <xf numFmtId="0" fontId="6" fillId="0" borderId="0" xfId="1" applyFont="1" applyFill="1" applyProtection="1"/>
    <xf numFmtId="49" fontId="6" fillId="0" borderId="0" xfId="1" applyNumberFormat="1" applyFont="1" applyBorder="1" applyAlignment="1" applyProtection="1">
      <alignment vertical="center"/>
    </xf>
    <xf numFmtId="0" fontId="20" fillId="0" borderId="0" xfId="1" applyFont="1" applyBorder="1" applyAlignment="1" applyProtection="1">
      <alignment vertical="top"/>
    </xf>
    <xf numFmtId="0" fontId="6" fillId="0" borderId="0" xfId="1" applyFont="1" applyAlignment="1" applyProtection="1">
      <alignment vertical="center"/>
    </xf>
    <xf numFmtId="0" fontId="9" fillId="0" borderId="0" xfId="1" applyFont="1" applyBorder="1" applyAlignment="1" applyProtection="1">
      <alignment horizontal="center" vertical="top" wrapText="1"/>
    </xf>
    <xf numFmtId="0" fontId="9" fillId="0" borderId="4" xfId="1" applyFont="1" applyBorder="1" applyAlignment="1" applyProtection="1">
      <alignment horizontal="center" vertical="top" wrapText="1"/>
    </xf>
    <xf numFmtId="0" fontId="9" fillId="0" borderId="0" xfId="1" applyNumberFormat="1" applyFont="1" applyBorder="1" applyAlignment="1" applyProtection="1">
      <alignment horizontal="center"/>
    </xf>
    <xf numFmtId="0" fontId="6" fillId="0" borderId="0" xfId="1" applyFont="1" applyBorder="1" applyAlignment="1" applyProtection="1">
      <alignment horizontal="center" vertical="top" wrapText="1"/>
    </xf>
    <xf numFmtId="0" fontId="3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3" fillId="0" borderId="0" xfId="1" applyFont="1" applyAlignment="1" applyProtection="1">
      <alignment horizontal="center"/>
    </xf>
    <xf numFmtId="49" fontId="0" fillId="0" borderId="0" xfId="0" applyNumberFormat="1"/>
    <xf numFmtId="0" fontId="6" fillId="6" borderId="3" xfId="1" applyFont="1" applyFill="1" applyBorder="1" applyProtection="1"/>
    <xf numFmtId="0" fontId="6" fillId="0" borderId="0" xfId="1" applyFont="1" applyFill="1" applyBorder="1" applyProtection="1"/>
    <xf numFmtId="0" fontId="11" fillId="0" borderId="0" xfId="9" applyProtection="1"/>
    <xf numFmtId="0" fontId="27" fillId="0" borderId="0" xfId="9" applyFont="1" applyProtection="1"/>
    <xf numFmtId="0" fontId="11" fillId="0" borderId="0" xfId="9" applyFont="1" applyProtection="1"/>
    <xf numFmtId="0" fontId="27" fillId="0" borderId="0" xfId="9" applyFont="1" applyAlignment="1" applyProtection="1">
      <alignment horizontal="center"/>
    </xf>
    <xf numFmtId="0" fontId="28" fillId="0" borderId="0" xfId="9" applyFont="1" applyFill="1" applyBorder="1" applyAlignment="1" applyProtection="1">
      <alignment horizontal="left" vertical="center"/>
    </xf>
    <xf numFmtId="0" fontId="29" fillId="0" borderId="0" xfId="9" applyFont="1" applyProtection="1"/>
    <xf numFmtId="0" fontId="14" fillId="0" borderId="3" xfId="6" applyFont="1" applyFill="1" applyBorder="1" applyAlignment="1" applyProtection="1">
      <alignment horizontal="center"/>
    </xf>
    <xf numFmtId="0" fontId="14" fillId="0" borderId="4" xfId="6" applyFont="1" applyFill="1" applyBorder="1" applyAlignment="1" applyProtection="1">
      <alignment horizontal="center"/>
    </xf>
    <xf numFmtId="0" fontId="28" fillId="0" borderId="4" xfId="6" applyFont="1" applyFill="1" applyBorder="1" applyAlignment="1" applyProtection="1">
      <alignment horizontal="center"/>
    </xf>
    <xf numFmtId="0" fontId="27" fillId="0" borderId="4" xfId="9" applyFont="1" applyBorder="1" applyAlignment="1" applyProtection="1">
      <alignment horizontal="center"/>
    </xf>
    <xf numFmtId="0" fontId="11" fillId="0" borderId="4" xfId="9" applyFont="1" applyBorder="1" applyProtection="1"/>
    <xf numFmtId="0" fontId="11" fillId="0" borderId="31" xfId="9" applyFont="1" applyBorder="1" applyProtection="1"/>
    <xf numFmtId="0" fontId="11" fillId="0" borderId="12" xfId="3" applyFont="1" applyFill="1" applyBorder="1" applyAlignment="1" applyProtection="1">
      <alignment vertical="center"/>
    </xf>
    <xf numFmtId="0" fontId="14" fillId="0" borderId="0" xfId="3" applyFont="1" applyFill="1" applyBorder="1" applyAlignment="1" applyProtection="1">
      <alignment horizontal="right" vertical="center"/>
    </xf>
    <xf numFmtId="0" fontId="11" fillId="0" borderId="13" xfId="3" applyFont="1" applyFill="1" applyBorder="1" applyAlignment="1" applyProtection="1">
      <alignment vertical="center"/>
    </xf>
    <xf numFmtId="0" fontId="11" fillId="0" borderId="0" xfId="9" applyFont="1" applyAlignment="1" applyProtection="1">
      <alignment vertical="center"/>
    </xf>
    <xf numFmtId="0" fontId="14" fillId="0" borderId="9" xfId="6" applyFont="1" applyFill="1" applyBorder="1" applyAlignment="1" applyProtection="1">
      <alignment horizontal="left" vertical="center"/>
    </xf>
    <xf numFmtId="0" fontId="14" fillId="0" borderId="1" xfId="6" applyFont="1" applyFill="1" applyBorder="1" applyAlignment="1" applyProtection="1">
      <alignment horizontal="center" vertical="center"/>
    </xf>
    <xf numFmtId="0" fontId="28" fillId="0" borderId="1" xfId="6" applyFont="1" applyFill="1" applyBorder="1" applyAlignment="1" applyProtection="1">
      <alignment horizontal="center"/>
    </xf>
    <xf numFmtId="0" fontId="27" fillId="0" borderId="1" xfId="9" applyFont="1" applyBorder="1" applyAlignment="1" applyProtection="1">
      <alignment horizontal="center"/>
    </xf>
    <xf numFmtId="0" fontId="11" fillId="0" borderId="1" xfId="9" applyFont="1" applyBorder="1" applyProtection="1"/>
    <xf numFmtId="0" fontId="11" fillId="0" borderId="10" xfId="9" applyFont="1" applyBorder="1" applyProtection="1"/>
    <xf numFmtId="0" fontId="14" fillId="0" borderId="0" xfId="6" applyFont="1" applyFill="1" applyBorder="1" applyAlignment="1" applyProtection="1">
      <alignment horizontal="left" vertical="center"/>
    </xf>
    <xf numFmtId="0" fontId="14" fillId="0" borderId="0" xfId="6" applyFont="1" applyFill="1" applyBorder="1" applyAlignment="1" applyProtection="1">
      <alignment horizontal="center" vertical="center"/>
    </xf>
    <xf numFmtId="0" fontId="28" fillId="0" borderId="0" xfId="6" applyFont="1" applyFill="1" applyBorder="1" applyAlignment="1" applyProtection="1">
      <alignment horizontal="center"/>
    </xf>
    <xf numFmtId="0" fontId="14" fillId="0" borderId="28" xfId="9" applyFont="1" applyBorder="1" applyAlignment="1" applyProtection="1">
      <alignment horizontal="center" vertical="center"/>
    </xf>
    <xf numFmtId="0" fontId="14" fillId="0" borderId="11" xfId="9" applyFont="1" applyBorder="1" applyAlignment="1" applyProtection="1">
      <alignment horizontal="center" vertical="center"/>
    </xf>
    <xf numFmtId="0" fontId="27" fillId="0" borderId="15" xfId="9" applyFont="1" applyBorder="1" applyAlignment="1" applyProtection="1">
      <alignment horizontal="center" vertical="center"/>
    </xf>
    <xf numFmtId="0" fontId="11" fillId="14" borderId="14" xfId="9" applyFill="1" applyBorder="1" applyAlignment="1" applyProtection="1">
      <alignment horizontal="center" vertical="center"/>
    </xf>
    <xf numFmtId="0" fontId="27" fillId="0" borderId="23" xfId="9" applyFont="1" applyBorder="1" applyAlignment="1" applyProtection="1">
      <alignment horizontal="center" vertical="center"/>
    </xf>
    <xf numFmtId="0" fontId="11" fillId="14" borderId="24" xfId="9" applyFill="1" applyBorder="1" applyAlignment="1" applyProtection="1">
      <alignment horizontal="center" vertical="center"/>
    </xf>
    <xf numFmtId="0" fontId="27" fillId="0" borderId="27" xfId="9" applyFont="1" applyBorder="1" applyAlignment="1" applyProtection="1">
      <alignment horizontal="center" vertical="center"/>
    </xf>
    <xf numFmtId="0" fontId="11" fillId="15" borderId="11" xfId="9" applyFont="1" applyFill="1" applyBorder="1" applyAlignment="1" applyProtection="1">
      <alignment horizontal="center" vertical="center"/>
    </xf>
    <xf numFmtId="0" fontId="11" fillId="0" borderId="0" xfId="9" applyFont="1" applyBorder="1" applyProtection="1"/>
    <xf numFmtId="0" fontId="30" fillId="0" borderId="0" xfId="9" applyFont="1" applyBorder="1" applyProtection="1"/>
    <xf numFmtId="0" fontId="33" fillId="13" borderId="2" xfId="9" applyFont="1" applyFill="1" applyBorder="1" applyAlignment="1" applyProtection="1">
      <alignment horizontal="center"/>
    </xf>
    <xf numFmtId="0" fontId="33" fillId="13" borderId="3" xfId="9" applyFont="1" applyFill="1" applyBorder="1" applyAlignment="1" applyProtection="1">
      <alignment horizontal="center"/>
    </xf>
    <xf numFmtId="0" fontId="14" fillId="0" borderId="12" xfId="9" applyFont="1" applyBorder="1" applyAlignment="1" applyProtection="1">
      <alignment horizontal="center"/>
    </xf>
    <xf numFmtId="0" fontId="33" fillId="13" borderId="22" xfId="9" applyFont="1" applyFill="1" applyBorder="1" applyAlignment="1" applyProtection="1">
      <alignment horizontal="center"/>
    </xf>
    <xf numFmtId="0" fontId="33" fillId="13" borderId="12" xfId="9" applyFont="1" applyFill="1" applyBorder="1" applyAlignment="1" applyProtection="1">
      <alignment horizontal="center"/>
    </xf>
    <xf numFmtId="0" fontId="33" fillId="13" borderId="8" xfId="9" applyFont="1" applyFill="1" applyBorder="1" applyAlignment="1" applyProtection="1">
      <alignment horizontal="center"/>
    </xf>
    <xf numFmtId="0" fontId="14" fillId="13" borderId="9" xfId="9" applyFont="1" applyFill="1" applyBorder="1" applyAlignment="1" applyProtection="1">
      <alignment horizontal="center"/>
    </xf>
    <xf numFmtId="0" fontId="11" fillId="0" borderId="11" xfId="9" applyFont="1" applyBorder="1" applyAlignment="1" applyProtection="1">
      <alignment horizontal="center" vertical="center"/>
    </xf>
    <xf numFmtId="0" fontId="11" fillId="0" borderId="5" xfId="9" applyFont="1" applyBorder="1" applyAlignment="1" applyProtection="1">
      <alignment horizontal="center" vertical="center"/>
    </xf>
    <xf numFmtId="0" fontId="34" fillId="0" borderId="12" xfId="9" applyFont="1" applyBorder="1" applyAlignment="1" applyProtection="1">
      <alignment horizontal="center" vertical="center"/>
    </xf>
    <xf numFmtId="0" fontId="11" fillId="0" borderId="0" xfId="9" applyAlignment="1" applyProtection="1">
      <alignment vertical="center"/>
    </xf>
    <xf numFmtId="0" fontId="34" fillId="0" borderId="0" xfId="9" applyFont="1" applyBorder="1" applyAlignment="1" applyProtection="1">
      <alignment horizontal="center" vertical="center"/>
    </xf>
    <xf numFmtId="0" fontId="30" fillId="0" borderId="0" xfId="9" applyFont="1" applyProtection="1"/>
    <xf numFmtId="0" fontId="14" fillId="13" borderId="56" xfId="9" applyFont="1" applyFill="1" applyBorder="1" applyAlignment="1" applyProtection="1">
      <alignment horizontal="center" wrapText="1"/>
    </xf>
    <xf numFmtId="0" fontId="31" fillId="13" borderId="57" xfId="9" applyFont="1" applyFill="1" applyBorder="1" applyAlignment="1" applyProtection="1">
      <alignment horizontal="center" wrapText="1"/>
    </xf>
    <xf numFmtId="0" fontId="31" fillId="0" borderId="58" xfId="9" applyFont="1" applyFill="1" applyBorder="1" applyAlignment="1" applyProtection="1">
      <alignment horizontal="left" vertical="center"/>
    </xf>
    <xf numFmtId="0" fontId="31" fillId="0" borderId="52" xfId="9" applyFont="1" applyFill="1" applyBorder="1" applyAlignment="1" applyProtection="1">
      <alignment horizontal="center" vertical="center"/>
    </xf>
    <xf numFmtId="0" fontId="14" fillId="0" borderId="52" xfId="9" applyFont="1" applyFill="1" applyBorder="1" applyAlignment="1" applyProtection="1">
      <alignment horizontal="center" wrapText="1"/>
    </xf>
    <xf numFmtId="0" fontId="31" fillId="0" borderId="59" xfId="9" applyFont="1" applyFill="1" applyBorder="1" applyAlignment="1" applyProtection="1">
      <alignment horizontal="center" wrapText="1"/>
    </xf>
    <xf numFmtId="49" fontId="27" fillId="0" borderId="58" xfId="9" applyNumberFormat="1" applyFont="1" applyBorder="1" applyAlignment="1" applyProtection="1">
      <alignment horizontal="right"/>
    </xf>
    <xf numFmtId="0" fontId="27" fillId="0" borderId="52" xfId="9" applyFont="1" applyBorder="1" applyProtection="1"/>
    <xf numFmtId="0" fontId="11" fillId="0" borderId="52" xfId="9" applyFont="1" applyBorder="1" applyProtection="1"/>
    <xf numFmtId="0" fontId="11" fillId="0" borderId="60" xfId="9" applyFont="1" applyBorder="1" applyProtection="1"/>
    <xf numFmtId="4" fontId="11" fillId="0" borderId="61" xfId="9" applyNumberFormat="1" applyFont="1" applyBorder="1" applyAlignment="1" applyProtection="1">
      <alignment horizontal="center"/>
    </xf>
    <xf numFmtId="4" fontId="27" fillId="0" borderId="62" xfId="9" applyNumberFormat="1" applyFont="1" applyBorder="1" applyAlignment="1" applyProtection="1">
      <alignment horizontal="center"/>
    </xf>
    <xf numFmtId="49" fontId="27" fillId="0" borderId="58" xfId="9" applyNumberFormat="1" applyFont="1" applyBorder="1" applyAlignment="1" applyProtection="1">
      <alignment horizontal="right" vertical="center" wrapText="1"/>
    </xf>
    <xf numFmtId="2" fontId="11" fillId="0" borderId="61" xfId="9" applyNumberFormat="1" applyFont="1" applyBorder="1" applyAlignment="1" applyProtection="1">
      <alignment horizontal="center"/>
    </xf>
    <xf numFmtId="2" fontId="27" fillId="0" borderId="62" xfId="9" applyNumberFormat="1" applyFont="1" applyBorder="1" applyAlignment="1" applyProtection="1">
      <alignment horizontal="center"/>
    </xf>
    <xf numFmtId="4" fontId="31" fillId="16" borderId="61" xfId="9" applyNumberFormat="1" applyFont="1" applyFill="1" applyBorder="1" applyAlignment="1" applyProtection="1">
      <alignment horizontal="center"/>
    </xf>
    <xf numFmtId="4" fontId="31" fillId="16" borderId="62" xfId="9" applyNumberFormat="1" applyFont="1" applyFill="1" applyBorder="1" applyAlignment="1" applyProtection="1">
      <alignment horizontal="center"/>
    </xf>
    <xf numFmtId="0" fontId="31" fillId="0" borderId="60" xfId="9" applyFont="1" applyFill="1" applyBorder="1" applyAlignment="1" applyProtection="1">
      <alignment horizontal="center" vertical="center"/>
    </xf>
    <xf numFmtId="0" fontId="14" fillId="13" borderId="63" xfId="9" applyFont="1" applyFill="1" applyBorder="1" applyAlignment="1" applyProtection="1">
      <alignment horizontal="center" vertical="center" wrapText="1"/>
    </xf>
    <xf numFmtId="0" fontId="31" fillId="13" borderId="64" xfId="9" applyFont="1" applyFill="1" applyBorder="1" applyAlignment="1" applyProtection="1">
      <alignment horizontal="center" vertical="center" wrapText="1"/>
    </xf>
    <xf numFmtId="0" fontId="11" fillId="0" borderId="61" xfId="9" applyFont="1" applyBorder="1" applyAlignment="1" applyProtection="1">
      <alignment horizontal="center" vertical="center"/>
    </xf>
    <xf numFmtId="49" fontId="11" fillId="0" borderId="65" xfId="9" applyNumberFormat="1" applyFont="1" applyBorder="1" applyAlignment="1" applyProtection="1">
      <alignment horizontal="right" vertical="top"/>
    </xf>
    <xf numFmtId="49" fontId="11" fillId="0" borderId="67" xfId="9" applyNumberFormat="1" applyFont="1" applyBorder="1" applyAlignment="1" applyProtection="1">
      <alignment horizontal="right" vertical="top"/>
    </xf>
    <xf numFmtId="0" fontId="11" fillId="0" borderId="62" xfId="9" applyFont="1" applyBorder="1" applyAlignment="1" applyProtection="1">
      <alignment horizontal="center" vertical="center"/>
    </xf>
    <xf numFmtId="49" fontId="11" fillId="0" borderId="67" xfId="9" applyNumberFormat="1" applyFont="1" applyBorder="1" applyAlignment="1" applyProtection="1">
      <alignment horizontal="right" vertical="center"/>
    </xf>
    <xf numFmtId="49" fontId="11" fillId="0" borderId="58" xfId="9" applyNumberFormat="1" applyFont="1" applyBorder="1" applyAlignment="1" applyProtection="1">
      <alignment horizontal="right" vertical="center"/>
    </xf>
    <xf numFmtId="0" fontId="11" fillId="0" borderId="52" xfId="9" applyFont="1" applyBorder="1" applyAlignment="1" applyProtection="1"/>
    <xf numFmtId="0" fontId="11" fillId="0" borderId="62" xfId="9" applyFont="1" applyBorder="1" applyAlignment="1" applyProtection="1">
      <alignment horizontal="center"/>
    </xf>
    <xf numFmtId="2" fontId="11" fillId="0" borderId="61" xfId="9" applyNumberFormat="1" applyFont="1" applyBorder="1" applyAlignment="1" applyProtection="1">
      <alignment horizontal="center" vertical="center"/>
    </xf>
    <xf numFmtId="0" fontId="14" fillId="16" borderId="71" xfId="9" applyFont="1" applyFill="1" applyBorder="1" applyAlignment="1" applyProtection="1">
      <alignment horizontal="center"/>
    </xf>
    <xf numFmtId="0" fontId="31" fillId="16" borderId="72" xfId="9" applyFont="1" applyFill="1" applyBorder="1" applyAlignment="1" applyProtection="1">
      <alignment horizontal="center"/>
    </xf>
    <xf numFmtId="0" fontId="11" fillId="0" borderId="0" xfId="9" applyFont="1" applyFill="1" applyProtection="1"/>
    <xf numFmtId="0" fontId="31" fillId="0" borderId="0" xfId="9" applyFont="1" applyFill="1" applyBorder="1" applyAlignment="1" applyProtection="1">
      <alignment horizontal="right"/>
    </xf>
    <xf numFmtId="0" fontId="14" fillId="0" borderId="0" xfId="9" applyFont="1" applyFill="1" applyBorder="1" applyAlignment="1" applyProtection="1">
      <alignment horizontal="center"/>
    </xf>
    <xf numFmtId="0" fontId="31" fillId="0" borderId="0" xfId="9" applyFont="1" applyFill="1" applyBorder="1" applyAlignment="1" applyProtection="1">
      <alignment horizontal="center"/>
    </xf>
    <xf numFmtId="0" fontId="11" fillId="0" borderId="0" xfId="9" applyFill="1" applyProtection="1"/>
    <xf numFmtId="49" fontId="27" fillId="0" borderId="58" xfId="9" applyNumberFormat="1" applyFont="1" applyBorder="1" applyAlignment="1" applyProtection="1">
      <alignment horizontal="right" vertical="top" wrapText="1"/>
    </xf>
    <xf numFmtId="0" fontId="11" fillId="0" borderId="61" xfId="9" applyFont="1" applyBorder="1" applyAlignment="1" applyProtection="1">
      <alignment horizontal="center" vertical="top"/>
    </xf>
    <xf numFmtId="1" fontId="11" fillId="0" borderId="62" xfId="9" applyNumberFormat="1" applyFont="1" applyBorder="1" applyAlignment="1" applyProtection="1">
      <alignment horizontal="center" vertical="top"/>
    </xf>
    <xf numFmtId="0" fontId="11" fillId="0" borderId="61" xfId="9" applyFont="1" applyBorder="1" applyAlignment="1" applyProtection="1">
      <alignment horizontal="center"/>
    </xf>
    <xf numFmtId="1" fontId="11" fillId="0" borderId="62" xfId="9" applyNumberFormat="1" applyFont="1" applyBorder="1" applyAlignment="1" applyProtection="1">
      <alignment horizontal="center"/>
    </xf>
    <xf numFmtId="0" fontId="34" fillId="0" borderId="0" xfId="9" applyFont="1" applyProtection="1"/>
    <xf numFmtId="1" fontId="31" fillId="16" borderId="72" xfId="9" applyNumberFormat="1" applyFont="1" applyFill="1" applyBorder="1" applyAlignment="1" applyProtection="1">
      <alignment horizontal="center"/>
    </xf>
    <xf numFmtId="0" fontId="27" fillId="0" borderId="52" xfId="9" applyFont="1" applyBorder="1" applyAlignment="1" applyProtection="1">
      <alignment horizontal="left" vertical="center"/>
    </xf>
    <xf numFmtId="0" fontId="27" fillId="0" borderId="60" xfId="9" applyFont="1" applyBorder="1" applyAlignment="1" applyProtection="1">
      <alignment horizontal="left" vertical="center"/>
    </xf>
    <xf numFmtId="0" fontId="11" fillId="0" borderId="73" xfId="9" applyFont="1" applyBorder="1" applyAlignment="1" applyProtection="1">
      <alignment horizontal="center" vertical="center"/>
    </xf>
    <xf numFmtId="4" fontId="31" fillId="16" borderId="71" xfId="9" applyNumberFormat="1" applyFont="1" applyFill="1" applyBorder="1" applyAlignment="1" applyProtection="1">
      <alignment horizontal="center"/>
    </xf>
    <xf numFmtId="4" fontId="31" fillId="16" borderId="72" xfId="9" applyNumberFormat="1" applyFont="1" applyFill="1" applyBorder="1" applyAlignment="1" applyProtection="1">
      <alignment horizontal="center"/>
    </xf>
    <xf numFmtId="0" fontId="35" fillId="0" borderId="52" xfId="9" applyFont="1" applyBorder="1" applyAlignment="1" applyProtection="1">
      <alignment horizontal="left" vertical="center"/>
    </xf>
    <xf numFmtId="0" fontId="40" fillId="0" borderId="0" xfId="3" applyFont="1" applyProtection="1"/>
    <xf numFmtId="0" fontId="40" fillId="0" borderId="0" xfId="3" applyFont="1" applyAlignment="1" applyProtection="1">
      <alignment horizontal="center"/>
    </xf>
    <xf numFmtId="0" fontId="40" fillId="0" borderId="0" xfId="3" applyFont="1" applyFill="1" applyAlignment="1" applyProtection="1">
      <alignment horizontal="center"/>
    </xf>
    <xf numFmtId="0" fontId="40" fillId="0" borderId="0" xfId="3" applyFont="1" applyFill="1" applyProtection="1"/>
    <xf numFmtId="0" fontId="41" fillId="0" borderId="0" xfId="3" applyFont="1" applyBorder="1" applyProtection="1"/>
    <xf numFmtId="0" fontId="43" fillId="0" borderId="0" xfId="3" applyFont="1" applyProtection="1"/>
    <xf numFmtId="0" fontId="43" fillId="0" borderId="0" xfId="3" applyFont="1" applyAlignment="1" applyProtection="1">
      <alignment horizontal="left"/>
    </xf>
    <xf numFmtId="0" fontId="45" fillId="0" borderId="0" xfId="3" applyFont="1" applyFill="1" applyBorder="1" applyAlignment="1" applyProtection="1">
      <alignment horizontal="left"/>
    </xf>
    <xf numFmtId="0" fontId="14" fillId="0" borderId="0" xfId="3" applyFont="1" applyFill="1" applyBorder="1" applyAlignment="1" applyProtection="1">
      <alignment horizontal="center"/>
    </xf>
    <xf numFmtId="4" fontId="11" fillId="0" borderId="0" xfId="3" applyNumberFormat="1" applyFont="1" applyFill="1" applyBorder="1" applyAlignment="1" applyProtection="1">
      <alignment horizontal="center" vertical="center"/>
    </xf>
    <xf numFmtId="0" fontId="40" fillId="0" borderId="0" xfId="3" applyFont="1" applyBorder="1" applyProtection="1"/>
    <xf numFmtId="0" fontId="46" fillId="0" borderId="0" xfId="3" applyFont="1" applyBorder="1" applyProtection="1"/>
    <xf numFmtId="0" fontId="40" fillId="0" borderId="0" xfId="3" applyFont="1" applyBorder="1" applyAlignment="1" applyProtection="1">
      <alignment horizontal="center"/>
    </xf>
    <xf numFmtId="0" fontId="40" fillId="0" borderId="0" xfId="3" applyFont="1" applyFill="1" applyBorder="1" applyProtection="1"/>
    <xf numFmtId="0" fontId="44" fillId="0" borderId="74" xfId="3" applyFont="1" applyBorder="1" applyAlignment="1" applyProtection="1">
      <alignment horizontal="center" vertical="center"/>
    </xf>
    <xf numFmtId="0" fontId="44" fillId="0" borderId="56" xfId="3" applyFont="1" applyBorder="1" applyAlignment="1" applyProtection="1">
      <alignment horizontal="center" vertical="center" wrapText="1"/>
    </xf>
    <xf numFmtId="0" fontId="44" fillId="0" borderId="57" xfId="3" applyFont="1" applyBorder="1" applyAlignment="1" applyProtection="1">
      <alignment horizontal="center" vertical="center"/>
    </xf>
    <xf numFmtId="0" fontId="11" fillId="0" borderId="61" xfId="3" applyFont="1" applyBorder="1" applyAlignment="1" applyProtection="1">
      <alignment vertical="top" wrapText="1"/>
    </xf>
    <xf numFmtId="0" fontId="40" fillId="0" borderId="0" xfId="3" applyFont="1" applyFill="1" applyBorder="1" applyAlignment="1" applyProtection="1">
      <alignment horizontal="center" vertical="center"/>
    </xf>
    <xf numFmtId="0" fontId="40" fillId="0" borderId="0" xfId="3" applyFont="1" applyProtection="1">
      <protection locked="0"/>
    </xf>
    <xf numFmtId="0" fontId="11" fillId="0" borderId="61" xfId="3" applyFont="1" applyBorder="1" applyAlignment="1" applyProtection="1">
      <alignment horizontal="left" vertical="top" wrapText="1"/>
    </xf>
    <xf numFmtId="0" fontId="11" fillId="0" borderId="73" xfId="3" applyFont="1" applyBorder="1" applyAlignment="1" applyProtection="1">
      <alignment horizontal="left" vertical="top" wrapText="1"/>
    </xf>
    <xf numFmtId="0" fontId="11" fillId="0" borderId="77" xfId="3" applyFont="1" applyFill="1" applyBorder="1" applyAlignment="1" applyProtection="1">
      <alignment horizontal="center" vertical="center"/>
    </xf>
    <xf numFmtId="0" fontId="11" fillId="0" borderId="73" xfId="3" applyFont="1" applyFill="1" applyBorder="1" applyAlignment="1" applyProtection="1">
      <alignment horizontal="center" vertical="center" wrapText="1"/>
    </xf>
    <xf numFmtId="0" fontId="11" fillId="0" borderId="66" xfId="3" applyFont="1" applyFill="1" applyBorder="1" applyAlignment="1" applyProtection="1">
      <alignment horizontal="center" vertical="center" wrapText="1"/>
    </xf>
    <xf numFmtId="0" fontId="44" fillId="0" borderId="11" xfId="3" applyFont="1" applyBorder="1" applyAlignment="1" applyProtection="1">
      <alignment horizontal="center" vertical="center" wrapText="1"/>
    </xf>
    <xf numFmtId="0" fontId="46" fillId="0" borderId="0" xfId="3" applyFont="1" applyBorder="1" applyAlignment="1" applyProtection="1">
      <alignment horizontal="center"/>
    </xf>
    <xf numFmtId="0" fontId="40" fillId="0" borderId="0" xfId="3" applyFont="1" applyAlignment="1" applyProtection="1">
      <alignment vertical="center"/>
    </xf>
    <xf numFmtId="0" fontId="46" fillId="17" borderId="5" xfId="3" applyFont="1" applyFill="1" applyBorder="1" applyAlignment="1" applyProtection="1">
      <alignment horizontal="center" vertical="center"/>
    </xf>
    <xf numFmtId="0" fontId="46" fillId="17" borderId="6" xfId="3" applyFont="1" applyFill="1" applyBorder="1" applyAlignment="1" applyProtection="1">
      <alignment horizontal="left" vertical="center"/>
    </xf>
    <xf numFmtId="0" fontId="40" fillId="17" borderId="6" xfId="3" applyFont="1" applyFill="1" applyBorder="1" applyAlignment="1" applyProtection="1">
      <alignment vertical="center"/>
    </xf>
    <xf numFmtId="0" fontId="40" fillId="17" borderId="6" xfId="3" applyFont="1" applyFill="1" applyBorder="1" applyAlignment="1" applyProtection="1">
      <alignment horizontal="center" vertical="center"/>
    </xf>
    <xf numFmtId="0" fontId="40" fillId="17" borderId="6" xfId="3" applyFont="1" applyFill="1" applyBorder="1" applyAlignment="1" applyProtection="1">
      <alignment horizontal="center" vertical="center" wrapText="1"/>
    </xf>
    <xf numFmtId="0" fontId="40" fillId="17" borderId="7" xfId="3" applyFont="1" applyFill="1" applyBorder="1" applyAlignment="1" applyProtection="1">
      <alignment horizontal="center" vertical="center" wrapText="1"/>
    </xf>
    <xf numFmtId="0" fontId="48" fillId="0" borderId="0" xfId="3" applyFont="1" applyFill="1" applyBorder="1" applyAlignment="1" applyProtection="1">
      <alignment horizontal="center" vertical="center" wrapText="1"/>
    </xf>
    <xf numFmtId="0" fontId="40" fillId="0" borderId="0" xfId="3" applyFont="1" applyAlignment="1" applyProtection="1">
      <alignment horizontal="center" vertical="center"/>
    </xf>
    <xf numFmtId="0" fontId="44" fillId="4" borderId="5" xfId="3" applyFont="1" applyFill="1" applyBorder="1" applyAlignment="1" applyProtection="1">
      <alignment horizontal="right" vertical="center"/>
    </xf>
    <xf numFmtId="0" fontId="44" fillId="4" borderId="6" xfId="3" applyFont="1" applyFill="1" applyBorder="1" applyAlignment="1" applyProtection="1">
      <alignment horizontal="left" vertical="center"/>
    </xf>
    <xf numFmtId="0" fontId="40" fillId="4" borderId="6" xfId="3" applyFont="1" applyFill="1" applyBorder="1" applyAlignment="1" applyProtection="1">
      <alignment vertical="center"/>
    </xf>
    <xf numFmtId="0" fontId="40" fillId="4" borderId="6" xfId="3" applyFont="1" applyFill="1" applyBorder="1" applyAlignment="1" applyProtection="1">
      <alignment horizontal="center" vertical="center"/>
    </xf>
    <xf numFmtId="0" fontId="40" fillId="4" borderId="6" xfId="3" applyFont="1" applyFill="1" applyBorder="1" applyAlignment="1" applyProtection="1">
      <alignment horizontal="center" vertical="center" wrapText="1"/>
    </xf>
    <xf numFmtId="0" fontId="40" fillId="4" borderId="7" xfId="3" applyFont="1" applyFill="1" applyBorder="1" applyAlignment="1" applyProtection="1">
      <alignment horizontal="center" vertical="center" wrapText="1"/>
    </xf>
    <xf numFmtId="0" fontId="44" fillId="0" borderId="0" xfId="3" applyFont="1" applyFill="1" applyBorder="1" applyAlignment="1" applyProtection="1">
      <alignment horizontal="center" vertical="center" wrapText="1"/>
    </xf>
    <xf numFmtId="0" fontId="44" fillId="0" borderId="12" xfId="3" applyFont="1" applyBorder="1" applyAlignment="1" applyProtection="1">
      <alignment horizontal="left" vertical="center"/>
    </xf>
    <xf numFmtId="0" fontId="49" fillId="0" borderId="4" xfId="3" applyFont="1" applyBorder="1" applyAlignment="1" applyProtection="1">
      <alignment horizontal="left" vertical="center"/>
    </xf>
    <xf numFmtId="0" fontId="40" fillId="0" borderId="0" xfId="3" applyFont="1" applyBorder="1" applyAlignment="1" applyProtection="1">
      <alignment vertical="center"/>
    </xf>
    <xf numFmtId="0" fontId="40" fillId="0" borderId="4" xfId="3" applyFont="1" applyBorder="1" applyAlignment="1" applyProtection="1">
      <alignment horizontal="center" vertical="center"/>
    </xf>
    <xf numFmtId="0" fontId="39" fillId="0" borderId="4" xfId="3" applyFont="1" applyBorder="1" applyAlignment="1" applyProtection="1">
      <alignment horizontal="left" vertical="center"/>
    </xf>
    <xf numFmtId="0" fontId="40" fillId="0" borderId="4" xfId="3" applyFont="1" applyBorder="1" applyAlignment="1" applyProtection="1">
      <alignment horizontal="center" vertical="center" wrapText="1"/>
    </xf>
    <xf numFmtId="0" fontId="44" fillId="0" borderId="80" xfId="3" applyFont="1" applyBorder="1" applyAlignment="1" applyProtection="1">
      <alignment horizontal="center" vertical="center" wrapText="1"/>
    </xf>
    <xf numFmtId="0" fontId="44" fillId="0" borderId="0" xfId="3" applyFont="1" applyFill="1" applyBorder="1" applyAlignment="1" applyProtection="1">
      <alignment horizontal="center" vertical="center"/>
    </xf>
    <xf numFmtId="0" fontId="14" fillId="13" borderId="77" xfId="3" applyFont="1" applyFill="1" applyBorder="1" applyAlignment="1" applyProtection="1">
      <alignment horizontal="center"/>
    </xf>
    <xf numFmtId="0" fontId="14" fillId="13" borderId="73" xfId="3" applyFont="1" applyFill="1" applyBorder="1" applyAlignment="1" applyProtection="1">
      <alignment horizontal="center"/>
    </xf>
    <xf numFmtId="0" fontId="33" fillId="13" borderId="73" xfId="3" applyFont="1" applyFill="1" applyBorder="1" applyAlignment="1" applyProtection="1">
      <alignment horizontal="center"/>
    </xf>
    <xf numFmtId="0" fontId="50" fillId="13" borderId="73" xfId="3" applyFont="1" applyFill="1" applyBorder="1" applyAlignment="1" applyProtection="1">
      <alignment horizontal="center"/>
    </xf>
    <xf numFmtId="0" fontId="51" fillId="13" borderId="73" xfId="3" applyFont="1" applyFill="1" applyBorder="1" applyAlignment="1" applyProtection="1">
      <alignment horizontal="center"/>
    </xf>
    <xf numFmtId="0" fontId="28" fillId="13" borderId="73" xfId="3" applyFont="1" applyFill="1" applyBorder="1" applyAlignment="1" applyProtection="1">
      <alignment horizontal="center" vertical="center" wrapText="1"/>
    </xf>
    <xf numFmtId="0" fontId="28" fillId="13" borderId="76" xfId="3" applyFont="1" applyFill="1" applyBorder="1" applyAlignment="1" applyProtection="1">
      <alignment horizontal="center" vertical="center" wrapText="1"/>
    </xf>
    <xf numFmtId="49" fontId="14" fillId="0" borderId="0" xfId="3" applyNumberFormat="1" applyFont="1" applyFill="1" applyBorder="1" applyAlignment="1" applyProtection="1">
      <alignment horizontal="center" vertical="center"/>
    </xf>
    <xf numFmtId="0" fontId="14" fillId="13" borderId="81" xfId="3" applyFont="1" applyFill="1" applyBorder="1" applyAlignment="1" applyProtection="1">
      <alignment horizontal="center"/>
    </xf>
    <xf numFmtId="0" fontId="14" fillId="13" borderId="82" xfId="3" applyFont="1" applyFill="1" applyBorder="1" applyAlignment="1" applyProtection="1">
      <alignment horizontal="center"/>
    </xf>
    <xf numFmtId="0" fontId="33" fillId="13" borderId="82" xfId="3" applyFont="1" applyFill="1" applyBorder="1" applyAlignment="1" applyProtection="1">
      <alignment horizontal="center"/>
    </xf>
    <xf numFmtId="0" fontId="50" fillId="13" borderId="82" xfId="3" applyFont="1" applyFill="1" applyBorder="1" applyAlignment="1" applyProtection="1">
      <alignment horizontal="center"/>
    </xf>
    <xf numFmtId="0" fontId="51" fillId="13" borderId="82" xfId="3" applyFont="1" applyFill="1" applyBorder="1" applyAlignment="1" applyProtection="1">
      <alignment horizontal="center"/>
    </xf>
    <xf numFmtId="0" fontId="28" fillId="13" borderId="82" xfId="3" applyFont="1" applyFill="1" applyBorder="1" applyAlignment="1" applyProtection="1">
      <alignment horizontal="center" vertical="center" wrapText="1"/>
    </xf>
    <xf numFmtId="49" fontId="33" fillId="0" borderId="0" xfId="3" applyNumberFormat="1" applyFont="1" applyFill="1" applyBorder="1" applyAlignment="1" applyProtection="1">
      <alignment horizontal="center" vertical="center"/>
    </xf>
    <xf numFmtId="0" fontId="11" fillId="13" borderId="78" xfId="3" applyFont="1" applyFill="1" applyBorder="1" applyAlignment="1" applyProtection="1">
      <alignment horizontal="center" vertical="center"/>
    </xf>
    <xf numFmtId="0" fontId="14" fillId="13" borderId="63" xfId="3" applyFont="1" applyFill="1" applyBorder="1" applyAlignment="1" applyProtection="1">
      <alignment horizontal="center"/>
    </xf>
    <xf numFmtId="0" fontId="33" fillId="13" borderId="63" xfId="3" applyFont="1" applyFill="1" applyBorder="1" applyAlignment="1" applyProtection="1">
      <alignment horizontal="center" vertical="center" wrapText="1"/>
    </xf>
    <xf numFmtId="0" fontId="50" fillId="13" borderId="63" xfId="3" applyFont="1" applyFill="1" applyBorder="1" applyAlignment="1" applyProtection="1">
      <alignment horizontal="center" vertical="center" wrapText="1"/>
    </xf>
    <xf numFmtId="0" fontId="51" fillId="13" borderId="63" xfId="3" applyFont="1" applyFill="1" applyBorder="1" applyAlignment="1" applyProtection="1">
      <alignment horizontal="center" vertical="center" wrapText="1"/>
    </xf>
    <xf numFmtId="0" fontId="28" fillId="13" borderId="63" xfId="3" applyFont="1" applyFill="1" applyBorder="1" applyAlignment="1" applyProtection="1">
      <alignment horizontal="center" vertical="center" wrapText="1"/>
    </xf>
    <xf numFmtId="0" fontId="28" fillId="13" borderId="64" xfId="3" applyFont="1" applyFill="1" applyBorder="1" applyAlignment="1" applyProtection="1">
      <alignment horizontal="center" vertical="center" wrapText="1"/>
    </xf>
    <xf numFmtId="0" fontId="33" fillId="0" borderId="0" xfId="3" applyFont="1" applyFill="1" applyBorder="1" applyAlignment="1" applyProtection="1">
      <alignment horizontal="center"/>
    </xf>
    <xf numFmtId="0" fontId="52" fillId="0" borderId="0" xfId="3" applyFont="1" applyProtection="1"/>
    <xf numFmtId="0" fontId="53" fillId="3" borderId="75" xfId="3" applyFont="1" applyFill="1" applyBorder="1" applyAlignment="1" applyProtection="1">
      <alignment horizontal="center" vertical="center"/>
    </xf>
    <xf numFmtId="0" fontId="54" fillId="3" borderId="61" xfId="3" applyFont="1" applyFill="1" applyBorder="1" applyAlignment="1" applyProtection="1">
      <alignment horizontal="center"/>
    </xf>
    <xf numFmtId="0" fontId="54" fillId="3" borderId="61" xfId="3" applyFont="1" applyFill="1" applyBorder="1" applyAlignment="1" applyProtection="1">
      <alignment horizontal="center" vertical="center" wrapText="1"/>
    </xf>
    <xf numFmtId="0" fontId="52" fillId="0" borderId="0" xfId="3" applyFont="1" applyFill="1" applyBorder="1" applyAlignment="1" applyProtection="1">
      <alignment horizontal="center"/>
    </xf>
    <xf numFmtId="0" fontId="54" fillId="0" borderId="0" xfId="3" applyFont="1" applyProtection="1"/>
    <xf numFmtId="0" fontId="54" fillId="0" borderId="0" xfId="3" applyFont="1" applyAlignment="1" applyProtection="1">
      <alignment horizontal="center"/>
    </xf>
    <xf numFmtId="0" fontId="11" fillId="0" borderId="0" xfId="3" applyFont="1" applyProtection="1"/>
    <xf numFmtId="0" fontId="11" fillId="18" borderId="78" xfId="3" applyFont="1" applyFill="1" applyBorder="1" applyProtection="1"/>
    <xf numFmtId="0" fontId="11" fillId="0" borderId="63" xfId="3" applyFont="1" applyBorder="1" applyAlignment="1" applyProtection="1">
      <alignment horizontal="center"/>
      <protection locked="0"/>
    </xf>
    <xf numFmtId="0" fontId="56" fillId="18" borderId="63" xfId="3" applyFont="1" applyFill="1" applyBorder="1" applyAlignment="1" applyProtection="1">
      <alignment horizontal="center"/>
    </xf>
    <xf numFmtId="2" fontId="57" fillId="18" borderId="61" xfId="3" applyNumberFormat="1" applyFont="1" applyFill="1" applyBorder="1" applyAlignment="1" applyProtection="1">
      <alignment horizontal="center"/>
    </xf>
    <xf numFmtId="4" fontId="57" fillId="18" borderId="61" xfId="3" applyNumberFormat="1" applyFont="1" applyFill="1" applyBorder="1" applyAlignment="1" applyProtection="1">
      <alignment horizontal="center"/>
    </xf>
    <xf numFmtId="4" fontId="58" fillId="18" borderId="64" xfId="3" applyNumberFormat="1" applyFont="1" applyFill="1" applyBorder="1" applyAlignment="1" applyProtection="1">
      <alignment horizontal="center"/>
    </xf>
    <xf numFmtId="0" fontId="11" fillId="0" borderId="0" xfId="3" applyFont="1" applyFill="1" applyBorder="1" applyProtection="1"/>
    <xf numFmtId="0" fontId="59" fillId="0" borderId="0" xfId="3" applyFont="1" applyProtection="1"/>
    <xf numFmtId="0" fontId="59" fillId="0" borderId="0" xfId="3" applyFont="1" applyAlignment="1" applyProtection="1">
      <alignment horizontal="center"/>
    </xf>
    <xf numFmtId="0" fontId="11" fillId="18" borderId="75" xfId="3" applyFont="1" applyFill="1" applyBorder="1" applyProtection="1"/>
    <xf numFmtId="0" fontId="11" fillId="0" borderId="61" xfId="3" applyFont="1" applyBorder="1" applyAlignment="1" applyProtection="1">
      <alignment horizontal="center"/>
      <protection locked="0"/>
    </xf>
    <xf numFmtId="4" fontId="58" fillId="18" borderId="62" xfId="3" applyNumberFormat="1" applyFont="1" applyFill="1" applyBorder="1" applyAlignment="1" applyProtection="1">
      <alignment horizontal="center"/>
    </xf>
    <xf numFmtId="16" fontId="11" fillId="0" borderId="0" xfId="3" applyNumberFormat="1" applyFont="1" applyFill="1" applyBorder="1" applyProtection="1"/>
    <xf numFmtId="0" fontId="11" fillId="13" borderId="67" xfId="3" applyFont="1" applyFill="1" applyBorder="1" applyAlignment="1" applyProtection="1">
      <alignment vertical="center"/>
    </xf>
    <xf numFmtId="0" fontId="60" fillId="13" borderId="51" xfId="3" applyFont="1" applyFill="1" applyBorder="1" applyAlignment="1" applyProtection="1">
      <alignment vertical="center"/>
    </xf>
    <xf numFmtId="0" fontId="14" fillId="13" borderId="51" xfId="3" applyFont="1" applyFill="1" applyBorder="1" applyAlignment="1" applyProtection="1">
      <alignment horizontal="right" vertical="center"/>
    </xf>
    <xf numFmtId="0" fontId="14" fillId="13" borderId="51" xfId="3" applyFont="1" applyFill="1" applyBorder="1" applyAlignment="1" applyProtection="1">
      <alignment horizontal="center" vertical="center"/>
    </xf>
    <xf numFmtId="0" fontId="11" fillId="13" borderId="1" xfId="3" applyFont="1" applyFill="1" applyBorder="1" applyAlignment="1" applyProtection="1">
      <alignment horizontal="center" vertical="center"/>
    </xf>
    <xf numFmtId="0" fontId="39" fillId="13" borderId="1" xfId="3" applyFont="1" applyFill="1" applyBorder="1" applyAlignment="1" applyProtection="1">
      <alignment horizontal="center" vertical="center"/>
    </xf>
    <xf numFmtId="0" fontId="11" fillId="13" borderId="51" xfId="3" applyFont="1" applyFill="1" applyBorder="1" applyAlignment="1" applyProtection="1">
      <alignment horizontal="center" vertical="center"/>
    </xf>
    <xf numFmtId="2" fontId="44" fillId="13" borderId="83" xfId="3" applyNumberFormat="1" applyFont="1" applyFill="1" applyBorder="1" applyAlignment="1" applyProtection="1">
      <alignment horizontal="right" vertical="center"/>
    </xf>
    <xf numFmtId="4" fontId="61" fillId="13" borderId="63" xfId="3" applyNumberFormat="1" applyFont="1" applyFill="1" applyBorder="1" applyAlignment="1" applyProtection="1">
      <alignment vertical="center"/>
    </xf>
    <xf numFmtId="4" fontId="61" fillId="13" borderId="64" xfId="3" applyNumberFormat="1" applyFont="1" applyFill="1" applyBorder="1" applyAlignment="1" applyProtection="1">
      <alignment vertical="center"/>
    </xf>
    <xf numFmtId="1" fontId="11" fillId="0" borderId="0" xfId="3" applyNumberFormat="1" applyFont="1" applyFill="1" applyBorder="1" applyAlignment="1" applyProtection="1">
      <alignment horizontal="center" vertical="center"/>
    </xf>
    <xf numFmtId="0" fontId="11" fillId="0" borderId="0" xfId="3" applyFont="1" applyAlignment="1" applyProtection="1">
      <alignment vertical="center"/>
    </xf>
    <xf numFmtId="0" fontId="11" fillId="0" borderId="0" xfId="3" applyFont="1" applyAlignment="1" applyProtection="1">
      <alignment horizontal="center" vertical="center"/>
    </xf>
    <xf numFmtId="0" fontId="40" fillId="0" borderId="53" xfId="3" applyFont="1" applyBorder="1" applyAlignment="1" applyProtection="1">
      <alignment vertical="center"/>
    </xf>
    <xf numFmtId="0" fontId="49" fillId="0" borderId="54" xfId="3" applyFont="1" applyBorder="1" applyAlignment="1" applyProtection="1">
      <alignment horizontal="left" vertical="center"/>
    </xf>
    <xf numFmtId="0" fontId="40" fillId="0" borderId="54" xfId="3" applyFont="1" applyBorder="1" applyAlignment="1" applyProtection="1">
      <alignment vertical="center"/>
    </xf>
    <xf numFmtId="0" fontId="40" fillId="0" borderId="54" xfId="3" applyFont="1" applyBorder="1" applyAlignment="1" applyProtection="1">
      <alignment horizontal="center" vertical="center"/>
    </xf>
    <xf numFmtId="0" fontId="62" fillId="0" borderId="54" xfId="3" applyFont="1" applyBorder="1" applyAlignment="1" applyProtection="1">
      <alignment horizontal="center" vertical="center" wrapText="1"/>
    </xf>
    <xf numFmtId="2" fontId="58" fillId="0" borderId="54" xfId="3" applyNumberFormat="1" applyFont="1" applyBorder="1" applyAlignment="1" applyProtection="1">
      <alignment horizontal="center" vertical="center"/>
    </xf>
    <xf numFmtId="0" fontId="63" fillId="0" borderId="80" xfId="3" applyFont="1" applyBorder="1" applyAlignment="1" applyProtection="1">
      <alignment horizontal="center" vertical="center" wrapText="1"/>
    </xf>
    <xf numFmtId="0" fontId="11" fillId="13" borderId="81" xfId="3" applyFont="1" applyFill="1" applyBorder="1" applyAlignment="1" applyProtection="1">
      <alignment horizontal="center" vertical="center"/>
    </xf>
    <xf numFmtId="0" fontId="28" fillId="13" borderId="82" xfId="3" applyFont="1" applyFill="1" applyBorder="1" applyAlignment="1" applyProtection="1">
      <alignment horizontal="center"/>
    </xf>
    <xf numFmtId="0" fontId="33" fillId="13" borderId="82" xfId="3" applyFont="1" applyFill="1" applyBorder="1" applyAlignment="1" applyProtection="1">
      <alignment horizontal="center" vertical="center" wrapText="1"/>
    </xf>
    <xf numFmtId="0" fontId="51" fillId="13" borderId="82" xfId="3" applyFont="1" applyFill="1" applyBorder="1" applyAlignment="1" applyProtection="1">
      <alignment horizontal="center" vertical="center" wrapText="1"/>
    </xf>
    <xf numFmtId="0" fontId="28" fillId="13" borderId="63" xfId="3" applyFont="1" applyFill="1" applyBorder="1" applyAlignment="1" applyProtection="1">
      <alignment horizontal="center"/>
    </xf>
    <xf numFmtId="0" fontId="11" fillId="13" borderId="51" xfId="3" applyFont="1" applyFill="1" applyBorder="1" applyAlignment="1" applyProtection="1">
      <alignment horizontal="center"/>
    </xf>
    <xf numFmtId="0" fontId="54" fillId="3" borderId="61" xfId="3" applyFont="1" applyFill="1" applyBorder="1" applyAlignment="1" applyProtection="1">
      <alignment horizontal="center" vertical="center"/>
    </xf>
    <xf numFmtId="2" fontId="54" fillId="3" borderId="61" xfId="3" applyNumberFormat="1" applyFont="1" applyFill="1" applyBorder="1" applyAlignment="1" applyProtection="1">
      <alignment horizontal="center"/>
    </xf>
    <xf numFmtId="2" fontId="54" fillId="3" borderId="62" xfId="3" applyNumberFormat="1" applyFont="1" applyFill="1" applyBorder="1" applyAlignment="1" applyProtection="1">
      <alignment horizontal="center"/>
    </xf>
    <xf numFmtId="0" fontId="56" fillId="18" borderId="61" xfId="3" applyFont="1" applyFill="1" applyBorder="1" applyAlignment="1" applyProtection="1">
      <alignment horizontal="center"/>
    </xf>
    <xf numFmtId="2" fontId="58" fillId="18" borderId="62" xfId="3" applyNumberFormat="1" applyFont="1" applyFill="1" applyBorder="1" applyAlignment="1" applyProtection="1">
      <alignment horizontal="center"/>
    </xf>
    <xf numFmtId="0" fontId="11" fillId="13" borderId="68" xfId="3" applyFont="1" applyFill="1" applyBorder="1" applyAlignment="1" applyProtection="1">
      <alignment vertical="center"/>
    </xf>
    <xf numFmtId="0" fontId="60" fillId="13" borderId="69" xfId="3" applyFont="1" applyFill="1" applyBorder="1" applyAlignment="1" applyProtection="1">
      <alignment vertical="center"/>
    </xf>
    <xf numFmtId="0" fontId="14" fillId="13" borderId="69" xfId="3" applyFont="1" applyFill="1" applyBorder="1" applyAlignment="1" applyProtection="1">
      <alignment horizontal="right" vertical="center"/>
    </xf>
    <xf numFmtId="0" fontId="14" fillId="13" borderId="69" xfId="3" applyFont="1" applyFill="1" applyBorder="1" applyAlignment="1" applyProtection="1">
      <alignment horizontal="center" vertical="center"/>
    </xf>
    <xf numFmtId="0" fontId="11" fillId="13" borderId="69" xfId="3" applyFont="1" applyFill="1" applyBorder="1" applyAlignment="1" applyProtection="1">
      <alignment horizontal="center" vertical="center"/>
    </xf>
    <xf numFmtId="0" fontId="39" fillId="13" borderId="69" xfId="3" applyFont="1" applyFill="1" applyBorder="1" applyAlignment="1" applyProtection="1">
      <alignment horizontal="center" vertical="center"/>
    </xf>
    <xf numFmtId="2" fontId="44" fillId="13" borderId="70" xfId="3" applyNumberFormat="1" applyFont="1" applyFill="1" applyBorder="1" applyAlignment="1" applyProtection="1">
      <alignment horizontal="right" vertical="center"/>
    </xf>
    <xf numFmtId="2" fontId="61" fillId="13" borderId="71" xfId="3" applyNumberFormat="1" applyFont="1" applyFill="1" applyBorder="1" applyAlignment="1" applyProtection="1">
      <alignment vertical="center"/>
    </xf>
    <xf numFmtId="2" fontId="61" fillId="13" borderId="72" xfId="3" applyNumberFormat="1" applyFont="1" applyFill="1" applyBorder="1" applyAlignment="1" applyProtection="1">
      <alignment vertical="center"/>
    </xf>
    <xf numFmtId="0" fontId="11" fillId="0" borderId="0" xfId="3" applyFont="1" applyAlignment="1" applyProtection="1">
      <alignment horizontal="center"/>
    </xf>
    <xf numFmtId="0" fontId="40" fillId="0" borderId="3" xfId="3" applyFont="1" applyBorder="1" applyAlignment="1" applyProtection="1">
      <alignment vertical="center"/>
    </xf>
    <xf numFmtId="0" fontId="40" fillId="0" borderId="4" xfId="3" applyFont="1" applyBorder="1" applyAlignment="1" applyProtection="1">
      <alignment vertical="center"/>
    </xf>
    <xf numFmtId="0" fontId="62" fillId="0" borderId="4" xfId="3" applyFont="1" applyBorder="1" applyAlignment="1" applyProtection="1">
      <alignment horizontal="center" vertical="center" wrapText="1"/>
    </xf>
    <xf numFmtId="0" fontId="40" fillId="0" borderId="3" xfId="3" applyFont="1" applyBorder="1" applyAlignment="1" applyProtection="1">
      <alignment horizontal="center" vertical="center"/>
    </xf>
    <xf numFmtId="2" fontId="58" fillId="0" borderId="4" xfId="3" applyNumberFormat="1" applyFont="1" applyBorder="1" applyAlignment="1" applyProtection="1">
      <alignment horizontal="center" vertical="center"/>
    </xf>
    <xf numFmtId="0" fontId="57" fillId="18" borderId="61" xfId="3" applyFont="1" applyFill="1" applyBorder="1" applyAlignment="1" applyProtection="1">
      <alignment horizontal="center"/>
    </xf>
    <xf numFmtId="0" fontId="40" fillId="13" borderId="58" xfId="3" applyFont="1" applyFill="1" applyBorder="1" applyAlignment="1" applyProtection="1">
      <alignment vertical="center"/>
    </xf>
    <xf numFmtId="0" fontId="64" fillId="13" borderId="52" xfId="3" applyFont="1" applyFill="1" applyBorder="1" applyAlignment="1" applyProtection="1">
      <alignment vertical="center"/>
    </xf>
    <xf numFmtId="0" fontId="44" fillId="13" borderId="52" xfId="3" applyFont="1" applyFill="1" applyBorder="1" applyAlignment="1" applyProtection="1">
      <alignment horizontal="right" vertical="center"/>
    </xf>
    <xf numFmtId="0" fontId="44" fillId="13" borderId="52" xfId="3" applyFont="1" applyFill="1" applyBorder="1" applyAlignment="1" applyProtection="1">
      <alignment horizontal="center" vertical="center"/>
    </xf>
    <xf numFmtId="0" fontId="40" fillId="13" borderId="52" xfId="3" applyFont="1" applyFill="1" applyBorder="1" applyAlignment="1" applyProtection="1">
      <alignment horizontal="center" vertical="center"/>
    </xf>
    <xf numFmtId="2" fontId="44" fillId="13" borderId="60" xfId="3" applyNumberFormat="1" applyFont="1" applyFill="1" applyBorder="1" applyAlignment="1" applyProtection="1">
      <alignment horizontal="right" vertical="center"/>
    </xf>
    <xf numFmtId="2" fontId="61" fillId="13" borderId="61" xfId="3" applyNumberFormat="1" applyFont="1" applyFill="1" applyBorder="1" applyAlignment="1" applyProtection="1">
      <alignment vertical="center"/>
    </xf>
    <xf numFmtId="2" fontId="61" fillId="13" borderId="62" xfId="3" applyNumberFormat="1" applyFont="1" applyFill="1" applyBorder="1" applyAlignment="1" applyProtection="1">
      <alignment vertical="center"/>
    </xf>
    <xf numFmtId="1" fontId="40" fillId="0" borderId="0" xfId="3" applyNumberFormat="1" applyFont="1" applyFill="1" applyBorder="1" applyAlignment="1" applyProtection="1">
      <alignment horizontal="center" vertical="center"/>
    </xf>
    <xf numFmtId="0" fontId="14" fillId="13" borderId="63" xfId="3" applyFont="1" applyFill="1" applyBorder="1" applyAlignment="1" applyProtection="1">
      <alignment horizontal="center" vertical="center" wrapText="1"/>
    </xf>
    <xf numFmtId="0" fontId="65" fillId="3" borderId="61" xfId="3" applyFont="1" applyFill="1" applyBorder="1" applyAlignment="1" applyProtection="1">
      <alignment horizontal="center" vertical="center" wrapText="1"/>
    </xf>
    <xf numFmtId="0" fontId="40" fillId="13" borderId="68" xfId="3" applyFont="1" applyFill="1" applyBorder="1" applyAlignment="1" applyProtection="1">
      <alignment vertical="center"/>
    </xf>
    <xf numFmtId="0" fontId="64" fillId="13" borderId="69" xfId="3" applyFont="1" applyFill="1" applyBorder="1" applyAlignment="1" applyProtection="1">
      <alignment vertical="center"/>
    </xf>
    <xf numFmtId="0" fontId="44" fillId="13" borderId="69" xfId="3" applyFont="1" applyFill="1" applyBorder="1" applyAlignment="1" applyProtection="1">
      <alignment horizontal="right" vertical="center"/>
    </xf>
    <xf numFmtId="0" fontId="44" fillId="13" borderId="69" xfId="3" applyFont="1" applyFill="1" applyBorder="1" applyAlignment="1" applyProtection="1">
      <alignment horizontal="center" vertical="center"/>
    </xf>
    <xf numFmtId="0" fontId="40" fillId="13" borderId="69" xfId="3" applyFont="1" applyFill="1" applyBorder="1" applyAlignment="1" applyProtection="1">
      <alignment horizontal="center" vertical="center"/>
    </xf>
    <xf numFmtId="0" fontId="66" fillId="13" borderId="69" xfId="3" applyFont="1" applyFill="1" applyBorder="1" applyAlignment="1" applyProtection="1">
      <alignment horizontal="center" vertical="center"/>
    </xf>
    <xf numFmtId="1" fontId="40" fillId="0" borderId="0" xfId="3" applyNumberFormat="1" applyFont="1" applyFill="1" applyBorder="1" applyAlignment="1" applyProtection="1">
      <alignment vertical="center"/>
    </xf>
    <xf numFmtId="0" fontId="40" fillId="0" borderId="5" xfId="3" applyFont="1" applyFill="1" applyBorder="1" applyAlignment="1" applyProtection="1">
      <alignment vertical="center"/>
    </xf>
    <xf numFmtId="0" fontId="40" fillId="0" borderId="6" xfId="3" applyFont="1" applyFill="1" applyBorder="1" applyAlignment="1" applyProtection="1">
      <alignment vertical="center"/>
    </xf>
    <xf numFmtId="0" fontId="61" fillId="0" borderId="6" xfId="3" applyFont="1" applyFill="1" applyBorder="1" applyAlignment="1" applyProtection="1">
      <alignment horizontal="right" vertical="center"/>
    </xf>
    <xf numFmtId="0" fontId="61" fillId="0" borderId="6" xfId="3" applyFont="1" applyFill="1" applyBorder="1" applyAlignment="1" applyProtection="1">
      <alignment horizontal="center" vertical="center"/>
    </xf>
    <xf numFmtId="0" fontId="40" fillId="0" borderId="6" xfId="3" applyFont="1" applyFill="1" applyBorder="1" applyAlignment="1" applyProtection="1">
      <alignment horizontal="center" vertical="center"/>
    </xf>
    <xf numFmtId="2" fontId="44" fillId="0" borderId="6" xfId="3" applyNumberFormat="1" applyFont="1" applyFill="1" applyBorder="1" applyAlignment="1" applyProtection="1">
      <alignment horizontal="right" vertical="center"/>
    </xf>
    <xf numFmtId="2" fontId="61" fillId="0" borderId="6" xfId="3" applyNumberFormat="1" applyFont="1" applyFill="1" applyBorder="1" applyAlignment="1" applyProtection="1">
      <alignment vertical="center"/>
    </xf>
    <xf numFmtId="2" fontId="61" fillId="0" borderId="7" xfId="3" applyNumberFormat="1" applyFont="1" applyFill="1" applyBorder="1" applyAlignment="1" applyProtection="1">
      <alignment vertical="center"/>
    </xf>
    <xf numFmtId="0" fontId="11" fillId="0" borderId="0" xfId="3" applyFont="1" applyFill="1" applyBorder="1" applyAlignment="1" applyProtection="1">
      <alignment vertical="center"/>
    </xf>
    <xf numFmtId="0" fontId="11" fillId="0" borderId="0" xfId="3" applyFont="1" applyFill="1" applyProtection="1"/>
    <xf numFmtId="0" fontId="11" fillId="0" borderId="0" xfId="3" applyFont="1" applyFill="1" applyAlignment="1" applyProtection="1">
      <alignment horizontal="center"/>
    </xf>
    <xf numFmtId="0" fontId="67" fillId="0" borderId="12" xfId="3" applyFont="1" applyBorder="1" applyAlignment="1" applyProtection="1">
      <alignment horizontal="left" vertical="center"/>
    </xf>
    <xf numFmtId="0" fontId="49" fillId="0" borderId="0" xfId="3" applyFont="1" applyBorder="1" applyAlignment="1" applyProtection="1">
      <alignment horizontal="left" vertical="center"/>
    </xf>
    <xf numFmtId="0" fontId="68" fillId="0" borderId="4" xfId="3" applyFont="1" applyBorder="1" applyAlignment="1" applyProtection="1">
      <alignment horizontal="center" vertical="center" wrapText="1"/>
    </xf>
    <xf numFmtId="0" fontId="63" fillId="0" borderId="13" xfId="3" applyFont="1" applyBorder="1" applyAlignment="1" applyProtection="1">
      <alignment horizontal="center" vertical="center" wrapText="1"/>
    </xf>
    <xf numFmtId="0" fontId="67" fillId="0" borderId="0" xfId="3" applyFont="1" applyFill="1" applyBorder="1" applyAlignment="1" applyProtection="1">
      <alignment horizontal="left" vertical="center"/>
    </xf>
    <xf numFmtId="0" fontId="33" fillId="13" borderId="86" xfId="3" applyFont="1" applyFill="1" applyBorder="1" applyAlignment="1" applyProtection="1">
      <alignment horizontal="center"/>
    </xf>
    <xf numFmtId="0" fontId="28" fillId="13" borderId="66" xfId="3" applyFont="1" applyFill="1" applyBorder="1" applyAlignment="1" applyProtection="1">
      <alignment horizontal="center" vertical="center" wrapText="1"/>
    </xf>
    <xf numFmtId="0" fontId="33" fillId="13" borderId="90" xfId="3" applyFont="1" applyFill="1" applyBorder="1" applyAlignment="1" applyProtection="1">
      <alignment horizontal="center" vertical="center" wrapText="1"/>
    </xf>
    <xf numFmtId="0" fontId="11" fillId="13" borderId="91" xfId="3" applyFont="1" applyFill="1" applyBorder="1" applyAlignment="1" applyProtection="1">
      <alignment horizontal="center"/>
    </xf>
    <xf numFmtId="0" fontId="33" fillId="13" borderId="91" xfId="3" applyFont="1" applyFill="1" applyBorder="1" applyAlignment="1" applyProtection="1">
      <alignment horizontal="center" vertical="center" wrapText="1"/>
    </xf>
    <xf numFmtId="0" fontId="56" fillId="13" borderId="63" xfId="3" applyFont="1" applyFill="1" applyBorder="1" applyAlignment="1" applyProtection="1">
      <alignment horizontal="center"/>
    </xf>
    <xf numFmtId="0" fontId="69" fillId="0" borderId="0" xfId="3" applyFont="1" applyFill="1" applyBorder="1" applyAlignment="1" applyProtection="1">
      <alignment horizontal="center"/>
    </xf>
    <xf numFmtId="0" fontId="70" fillId="3" borderId="75" xfId="3" applyFont="1" applyFill="1" applyBorder="1" applyAlignment="1" applyProtection="1">
      <alignment horizontal="center" vertical="center"/>
    </xf>
    <xf numFmtId="0" fontId="71" fillId="3" borderId="61" xfId="3" applyFont="1" applyFill="1" applyBorder="1" applyAlignment="1" applyProtection="1">
      <alignment horizontal="center"/>
    </xf>
    <xf numFmtId="0" fontId="71" fillId="3" borderId="89" xfId="3" applyFont="1" applyFill="1" applyBorder="1" applyAlignment="1" applyProtection="1"/>
    <xf numFmtId="0" fontId="71" fillId="3" borderId="52" xfId="3" applyFont="1" applyFill="1" applyBorder="1" applyAlignment="1" applyProtection="1"/>
    <xf numFmtId="0" fontId="71" fillId="3" borderId="60" xfId="3" applyFont="1" applyFill="1" applyBorder="1" applyAlignment="1" applyProtection="1"/>
    <xf numFmtId="0" fontId="72" fillId="3" borderId="60" xfId="3" applyFont="1" applyFill="1" applyBorder="1" applyAlignment="1" applyProtection="1">
      <alignment horizontal="center" vertical="center" wrapText="1"/>
    </xf>
    <xf numFmtId="2" fontId="71" fillId="3" borderId="61" xfId="3" applyNumberFormat="1" applyFont="1" applyFill="1" applyBorder="1" applyAlignment="1" applyProtection="1">
      <alignment horizontal="center"/>
    </xf>
    <xf numFmtId="2" fontId="71" fillId="3" borderId="62" xfId="3" applyNumberFormat="1" applyFont="1" applyFill="1" applyBorder="1" applyAlignment="1" applyProtection="1">
      <alignment horizontal="center"/>
    </xf>
    <xf numFmtId="0" fontId="73" fillId="0" borderId="0" xfId="3" applyFont="1" applyFill="1" applyBorder="1" applyAlignment="1" applyProtection="1">
      <alignment horizontal="center"/>
    </xf>
    <xf numFmtId="0" fontId="58" fillId="18" borderId="61" xfId="3" applyFont="1" applyFill="1" applyBorder="1" applyAlignment="1" applyProtection="1">
      <alignment horizontal="center"/>
    </xf>
    <xf numFmtId="2" fontId="58" fillId="18" borderId="61" xfId="3" applyNumberFormat="1" applyFont="1" applyFill="1" applyBorder="1" applyAlignment="1" applyProtection="1">
      <alignment horizontal="center"/>
    </xf>
    <xf numFmtId="0" fontId="40" fillId="13" borderId="52" xfId="3" applyFont="1" applyFill="1" applyBorder="1" applyAlignment="1" applyProtection="1">
      <alignment vertical="center"/>
    </xf>
    <xf numFmtId="0" fontId="61" fillId="13" borderId="52" xfId="3" applyFont="1" applyFill="1" applyBorder="1" applyAlignment="1" applyProtection="1">
      <alignment horizontal="right" vertical="center"/>
    </xf>
    <xf numFmtId="0" fontId="61" fillId="13" borderId="52" xfId="3" applyFont="1" applyFill="1" applyBorder="1" applyAlignment="1" applyProtection="1">
      <alignment horizontal="center" vertical="center"/>
    </xf>
    <xf numFmtId="0" fontId="67" fillId="0" borderId="53" xfId="3" applyFont="1" applyBorder="1" applyAlignment="1" applyProtection="1">
      <alignment horizontal="left" vertical="center"/>
    </xf>
    <xf numFmtId="0" fontId="40" fillId="0" borderId="54" xfId="3" applyFont="1" applyBorder="1" applyAlignment="1" applyProtection="1">
      <alignment horizontal="center" vertical="center" wrapText="1"/>
    </xf>
    <xf numFmtId="0" fontId="11" fillId="13" borderId="0" xfId="3" applyFont="1" applyFill="1" applyBorder="1" applyAlignment="1" applyProtection="1">
      <alignment horizontal="center"/>
    </xf>
    <xf numFmtId="0" fontId="73" fillId="0" borderId="0" xfId="3" applyFont="1" applyProtection="1"/>
    <xf numFmtId="0" fontId="73" fillId="0" borderId="0" xfId="3" applyFont="1" applyAlignment="1" applyProtection="1">
      <alignment horizontal="center"/>
    </xf>
    <xf numFmtId="0" fontId="74" fillId="13" borderId="63" xfId="3" applyFont="1" applyFill="1" applyBorder="1" applyAlignment="1" applyProtection="1">
      <alignment horizontal="center" vertical="center" wrapText="1"/>
    </xf>
    <xf numFmtId="0" fontId="40" fillId="13" borderId="68" xfId="3" applyFont="1" applyFill="1" applyBorder="1" applyProtection="1"/>
    <xf numFmtId="0" fontId="40" fillId="13" borderId="69" xfId="3" applyFont="1" applyFill="1" applyBorder="1" applyAlignment="1" applyProtection="1">
      <alignment vertical="center"/>
    </xf>
    <xf numFmtId="0" fontId="61" fillId="13" borderId="69" xfId="3" applyFont="1" applyFill="1" applyBorder="1" applyAlignment="1" applyProtection="1">
      <alignment horizontal="right" vertical="center"/>
    </xf>
    <xf numFmtId="0" fontId="61" fillId="13" borderId="69" xfId="3" applyFont="1" applyFill="1" applyBorder="1" applyAlignment="1" applyProtection="1">
      <alignment horizontal="center" vertical="center"/>
    </xf>
    <xf numFmtId="0" fontId="40" fillId="13" borderId="71" xfId="3" applyFont="1" applyFill="1" applyBorder="1" applyAlignment="1" applyProtection="1">
      <alignment horizontal="center" vertical="center"/>
    </xf>
    <xf numFmtId="0" fontId="40" fillId="0" borderId="0" xfId="3" applyFont="1" applyFill="1" applyBorder="1" applyAlignment="1" applyProtection="1">
      <alignment vertical="center"/>
    </xf>
    <xf numFmtId="0" fontId="11" fillId="0" borderId="9" xfId="3" applyFont="1" applyFill="1" applyBorder="1" applyProtection="1"/>
    <xf numFmtId="0" fontId="40" fillId="0" borderId="1" xfId="3" applyFont="1" applyFill="1" applyBorder="1" applyAlignment="1" applyProtection="1">
      <alignment vertical="center"/>
    </xf>
    <xf numFmtId="0" fontId="61" fillId="0" borderId="1" xfId="3" applyFont="1" applyFill="1" applyBorder="1" applyAlignment="1" applyProtection="1">
      <alignment horizontal="right" vertical="center"/>
    </xf>
    <xf numFmtId="0" fontId="61" fillId="0" borderId="1" xfId="3" applyFont="1" applyFill="1" applyBorder="1" applyAlignment="1" applyProtection="1">
      <alignment horizontal="center" vertical="center"/>
    </xf>
    <xf numFmtId="0" fontId="40" fillId="0" borderId="1" xfId="3" applyFont="1" applyFill="1" applyBorder="1" applyAlignment="1" applyProtection="1">
      <alignment horizontal="center" vertical="center"/>
    </xf>
    <xf numFmtId="2" fontId="61" fillId="0" borderId="0" xfId="3" applyNumberFormat="1" applyFont="1" applyFill="1" applyBorder="1" applyAlignment="1" applyProtection="1">
      <alignment horizontal="right" vertical="center"/>
    </xf>
    <xf numFmtId="2" fontId="61" fillId="0" borderId="1" xfId="3" applyNumberFormat="1" applyFont="1" applyFill="1" applyBorder="1" applyAlignment="1" applyProtection="1">
      <alignment vertical="center"/>
    </xf>
    <xf numFmtId="2" fontId="61" fillId="0" borderId="13" xfId="3" applyNumberFormat="1" applyFont="1" applyFill="1" applyBorder="1" applyAlignment="1" applyProtection="1">
      <alignment vertical="center"/>
    </xf>
    <xf numFmtId="0" fontId="40" fillId="0" borderId="0" xfId="3" applyFont="1" applyFill="1" applyAlignment="1" applyProtection="1">
      <alignment vertical="center"/>
    </xf>
    <xf numFmtId="0" fontId="40" fillId="0" borderId="0" xfId="3" applyFont="1" applyFill="1" applyAlignment="1" applyProtection="1">
      <alignment horizontal="center" vertical="center"/>
    </xf>
    <xf numFmtId="0" fontId="44" fillId="4" borderId="7" xfId="3" applyFont="1" applyFill="1" applyBorder="1" applyAlignment="1" applyProtection="1">
      <alignment horizontal="left" vertical="center"/>
    </xf>
    <xf numFmtId="0" fontId="75" fillId="4" borderId="5" xfId="3" applyFont="1" applyFill="1" applyBorder="1" applyAlignment="1" applyProtection="1">
      <alignment vertical="center"/>
    </xf>
    <xf numFmtId="0" fontId="40" fillId="4" borderId="7" xfId="3" applyFont="1" applyFill="1" applyBorder="1" applyAlignment="1" applyProtection="1">
      <alignment horizontal="center" vertical="center"/>
    </xf>
    <xf numFmtId="0" fontId="14" fillId="13" borderId="92" xfId="3" applyFont="1" applyFill="1" applyBorder="1" applyAlignment="1" applyProtection="1">
      <alignment horizontal="center"/>
    </xf>
    <xf numFmtId="0" fontId="33" fillId="13" borderId="95" xfId="3" applyFont="1" applyFill="1" applyBorder="1" applyAlignment="1" applyProtection="1">
      <alignment horizontal="center"/>
    </xf>
    <xf numFmtId="0" fontId="51" fillId="13" borderId="95" xfId="3" applyFont="1" applyFill="1" applyBorder="1" applyAlignment="1" applyProtection="1">
      <alignment horizontal="center"/>
    </xf>
    <xf numFmtId="0" fontId="28" fillId="13" borderId="95" xfId="3" applyFont="1" applyFill="1" applyBorder="1" applyAlignment="1" applyProtection="1">
      <alignment horizontal="center" vertical="center" wrapText="1"/>
    </xf>
    <xf numFmtId="0" fontId="28" fillId="13" borderId="96" xfId="3" applyFont="1" applyFill="1" applyBorder="1" applyAlignment="1" applyProtection="1">
      <alignment horizontal="center" vertical="center" wrapText="1"/>
    </xf>
    <xf numFmtId="0" fontId="28" fillId="13" borderId="87" xfId="3" applyFont="1" applyFill="1" applyBorder="1" applyAlignment="1" applyProtection="1"/>
    <xf numFmtId="0" fontId="28" fillId="13" borderId="0" xfId="3" applyFont="1" applyFill="1" applyBorder="1" applyAlignment="1" applyProtection="1"/>
    <xf numFmtId="0" fontId="28" fillId="13" borderId="87" xfId="3" applyFont="1" applyFill="1" applyBorder="1" applyAlignment="1" applyProtection="1">
      <alignment horizontal="center"/>
    </xf>
    <xf numFmtId="0" fontId="28" fillId="13" borderId="0" xfId="3" applyFont="1" applyFill="1" applyBorder="1" applyAlignment="1" applyProtection="1">
      <alignment horizontal="center"/>
    </xf>
    <xf numFmtId="0" fontId="14" fillId="13" borderId="82" xfId="3" applyFont="1" applyFill="1" applyBorder="1" applyAlignment="1" applyProtection="1">
      <alignment horizontal="center" vertical="center" wrapText="1"/>
    </xf>
    <xf numFmtId="0" fontId="40" fillId="13" borderId="9" xfId="3" applyFont="1" applyFill="1" applyBorder="1" applyAlignment="1" applyProtection="1">
      <alignment vertical="center"/>
    </xf>
    <xf numFmtId="0" fontId="64" fillId="13" borderId="1" xfId="3" applyFont="1" applyFill="1" applyBorder="1" applyAlignment="1" applyProtection="1">
      <alignment vertical="center"/>
    </xf>
    <xf numFmtId="0" fontId="44" fillId="13" borderId="1" xfId="3" applyFont="1" applyFill="1" applyBorder="1" applyAlignment="1" applyProtection="1">
      <alignment horizontal="right" vertical="center"/>
    </xf>
    <xf numFmtId="0" fontId="40" fillId="13" borderId="1" xfId="3" applyFont="1" applyFill="1" applyBorder="1" applyAlignment="1" applyProtection="1">
      <alignment horizontal="center" vertical="center"/>
    </xf>
    <xf numFmtId="0" fontId="44" fillId="13" borderId="70" xfId="3" applyFont="1" applyFill="1" applyBorder="1" applyAlignment="1" applyProtection="1">
      <alignment horizontal="right" vertical="center"/>
    </xf>
    <xf numFmtId="2" fontId="61" fillId="13" borderId="97" xfId="3" applyNumberFormat="1" applyFont="1" applyFill="1" applyBorder="1" applyAlignment="1" applyProtection="1">
      <alignment vertical="center"/>
    </xf>
    <xf numFmtId="2" fontId="61" fillId="13" borderId="98" xfId="3" applyNumberFormat="1" applyFont="1" applyFill="1" applyBorder="1" applyAlignment="1" applyProtection="1">
      <alignment vertical="center"/>
    </xf>
    <xf numFmtId="0" fontId="14" fillId="13" borderId="95" xfId="3" applyFont="1" applyFill="1" applyBorder="1" applyAlignment="1" applyProtection="1">
      <alignment horizontal="center"/>
    </xf>
    <xf numFmtId="0" fontId="28" fillId="13" borderId="82" xfId="3" applyFont="1" applyFill="1" applyBorder="1" applyAlignment="1" applyProtection="1"/>
    <xf numFmtId="0" fontId="28" fillId="13" borderId="82" xfId="3" applyFont="1" applyFill="1" applyBorder="1" applyAlignment="1" applyProtection="1">
      <alignment horizontal="center"/>
      <protection locked="0"/>
    </xf>
    <xf numFmtId="0" fontId="28" fillId="13" borderId="0" xfId="3" applyFont="1" applyFill="1" applyBorder="1" applyAlignment="1" applyProtection="1">
      <alignment horizontal="center"/>
      <protection locked="0"/>
    </xf>
    <xf numFmtId="0" fontId="33" fillId="13" borderId="82" xfId="3" applyFont="1" applyFill="1" applyBorder="1" applyAlignment="1" applyProtection="1">
      <alignment horizontal="center" vertical="center" wrapText="1"/>
      <protection locked="0"/>
    </xf>
    <xf numFmtId="0" fontId="11" fillId="0" borderId="61" xfId="3" applyFont="1" applyBorder="1" applyAlignment="1" applyProtection="1">
      <protection locked="0"/>
    </xf>
    <xf numFmtId="0" fontId="40" fillId="13" borderId="1" xfId="3" applyFont="1" applyFill="1" applyBorder="1" applyAlignment="1" applyProtection="1">
      <alignment vertical="center"/>
    </xf>
    <xf numFmtId="0" fontId="50" fillId="13" borderId="95" xfId="3" applyFont="1" applyFill="1" applyBorder="1" applyAlignment="1" applyProtection="1">
      <alignment horizontal="center"/>
    </xf>
    <xf numFmtId="0" fontId="50" fillId="13" borderId="82" xfId="3" applyFont="1" applyFill="1" applyBorder="1" applyAlignment="1" applyProtection="1">
      <alignment horizontal="right" vertical="center"/>
    </xf>
    <xf numFmtId="0" fontId="76" fillId="0" borderId="0" xfId="3" applyFont="1" applyFill="1" applyBorder="1" applyAlignment="1" applyProtection="1"/>
    <xf numFmtId="0" fontId="76" fillId="0" borderId="0" xfId="3" applyFont="1" applyAlignment="1" applyProtection="1"/>
    <xf numFmtId="0" fontId="76" fillId="0" borderId="0" xfId="3" applyFont="1" applyAlignment="1" applyProtection="1">
      <alignment horizontal="center"/>
    </xf>
    <xf numFmtId="0" fontId="76" fillId="0" borderId="0" xfId="3" applyFont="1" applyProtection="1"/>
    <xf numFmtId="0" fontId="76" fillId="0" borderId="0" xfId="3" applyFont="1" applyFill="1" applyBorder="1" applyProtection="1"/>
    <xf numFmtId="0" fontId="61" fillId="0" borderId="0" xfId="3" applyFont="1" applyFill="1" applyBorder="1" applyAlignment="1" applyProtection="1">
      <alignment horizontal="right" vertical="center"/>
    </xf>
    <xf numFmtId="0" fontId="44" fillId="0" borderId="0" xfId="3" applyFont="1" applyFill="1" applyBorder="1" applyAlignment="1" applyProtection="1">
      <alignment horizontal="right" vertical="center"/>
    </xf>
    <xf numFmtId="2" fontId="61" fillId="0" borderId="0" xfId="3" applyNumberFormat="1" applyFont="1" applyFill="1" applyBorder="1" applyAlignment="1" applyProtection="1">
      <alignment vertical="center"/>
    </xf>
    <xf numFmtId="0" fontId="77" fillId="0" borderId="0" xfId="3" applyFont="1" applyFill="1" applyBorder="1" applyAlignment="1" applyProtection="1">
      <alignment vertical="center"/>
    </xf>
    <xf numFmtId="0" fontId="77" fillId="0" borderId="0" xfId="3" applyFont="1" applyAlignment="1" applyProtection="1">
      <alignment vertical="center"/>
    </xf>
    <xf numFmtId="0" fontId="77" fillId="0" borderId="0" xfId="3" applyFont="1" applyAlignment="1" applyProtection="1">
      <alignment horizontal="center" vertical="center"/>
    </xf>
    <xf numFmtId="0" fontId="61" fillId="0" borderId="0" xfId="3" applyFont="1" applyBorder="1" applyAlignment="1" applyProtection="1">
      <alignment horizontal="right"/>
    </xf>
    <xf numFmtId="0" fontId="61" fillId="0" borderId="0" xfId="3" applyFont="1" applyBorder="1" applyAlignment="1" applyProtection="1">
      <alignment horizontal="center"/>
    </xf>
    <xf numFmtId="2" fontId="61" fillId="0" borderId="0" xfId="3" applyNumberFormat="1" applyFont="1" applyBorder="1" applyProtection="1"/>
    <xf numFmtId="0" fontId="77" fillId="0" borderId="0" xfId="3" applyFont="1" applyFill="1" applyAlignment="1" applyProtection="1">
      <alignment vertical="center"/>
    </xf>
    <xf numFmtId="0" fontId="77" fillId="0" borderId="0" xfId="3" applyFont="1" applyFill="1" applyAlignment="1" applyProtection="1">
      <alignment horizontal="center" vertical="center"/>
    </xf>
    <xf numFmtId="0" fontId="46" fillId="17" borderId="5" xfId="3" applyFont="1" applyFill="1" applyBorder="1" applyAlignment="1" applyProtection="1">
      <alignment horizontal="center" vertical="top"/>
    </xf>
    <xf numFmtId="0" fontId="14" fillId="13" borderId="3" xfId="3" applyFont="1" applyFill="1" applyBorder="1" applyAlignment="1" applyProtection="1">
      <alignment horizontal="center"/>
    </xf>
    <xf numFmtId="0" fontId="11" fillId="13" borderId="4" xfId="3" applyFont="1" applyFill="1" applyBorder="1" applyAlignment="1" applyProtection="1">
      <alignment horizontal="center"/>
    </xf>
    <xf numFmtId="1" fontId="14" fillId="13" borderId="95" xfId="3" applyNumberFormat="1" applyFont="1" applyFill="1" applyBorder="1" applyAlignment="1" applyProtection="1">
      <alignment horizontal="center"/>
    </xf>
    <xf numFmtId="0" fontId="11" fillId="13" borderId="67" xfId="3" applyFont="1" applyFill="1" applyBorder="1" applyAlignment="1" applyProtection="1">
      <alignment horizontal="center" vertical="center"/>
    </xf>
    <xf numFmtId="0" fontId="28" fillId="13" borderId="51" xfId="3" applyFont="1" applyFill="1" applyBorder="1" applyAlignment="1" applyProtection="1">
      <alignment horizontal="center"/>
    </xf>
    <xf numFmtId="187" fontId="11" fillId="0" borderId="81" xfId="3" applyNumberFormat="1" applyFont="1" applyBorder="1" applyAlignment="1" applyProtection="1">
      <alignment horizontal="left"/>
    </xf>
    <xf numFmtId="187" fontId="11" fillId="0" borderId="91" xfId="3" applyNumberFormat="1" applyFont="1" applyBorder="1" applyAlignment="1" applyProtection="1">
      <alignment horizontal="left"/>
    </xf>
    <xf numFmtId="0" fontId="11" fillId="0" borderId="88" xfId="3" applyFont="1" applyBorder="1" applyAlignment="1" applyProtection="1"/>
    <xf numFmtId="0" fontId="11" fillId="0" borderId="51" xfId="3" applyFont="1" applyBorder="1" applyAlignment="1" applyProtection="1"/>
    <xf numFmtId="0" fontId="78" fillId="18" borderId="63" xfId="3" applyFont="1" applyFill="1" applyBorder="1" applyAlignment="1" applyProtection="1">
      <alignment horizontal="center"/>
    </xf>
    <xf numFmtId="187" fontId="58" fillId="18" borderId="63" xfId="3" applyNumberFormat="1" applyFont="1" applyFill="1" applyBorder="1" applyAlignment="1" applyProtection="1">
      <alignment horizontal="center"/>
    </xf>
    <xf numFmtId="2" fontId="58" fillId="18" borderId="63" xfId="3" applyNumberFormat="1" applyFont="1" applyFill="1" applyBorder="1" applyAlignment="1" applyProtection="1">
      <alignment horizontal="center"/>
    </xf>
    <xf numFmtId="2" fontId="58" fillId="18" borderId="64" xfId="3" applyNumberFormat="1" applyFont="1" applyFill="1" applyBorder="1" applyAlignment="1" applyProtection="1">
      <alignment horizontal="center"/>
    </xf>
    <xf numFmtId="187" fontId="11" fillId="0" borderId="60" xfId="3" applyNumberFormat="1" applyFont="1" applyBorder="1" applyAlignment="1" applyProtection="1">
      <alignment horizontal="left"/>
    </xf>
    <xf numFmtId="0" fontId="11" fillId="0" borderId="89" xfId="3" applyFont="1" applyBorder="1" applyAlignment="1" applyProtection="1"/>
    <xf numFmtId="0" fontId="11" fillId="0" borderId="52" xfId="3" applyFont="1" applyBorder="1" applyAlignment="1" applyProtection="1"/>
    <xf numFmtId="0" fontId="78" fillId="18" borderId="61" xfId="3" applyFont="1" applyFill="1" applyBorder="1" applyAlignment="1" applyProtection="1">
      <alignment horizontal="center"/>
    </xf>
    <xf numFmtId="187" fontId="58" fillId="18" borderId="61" xfId="3" applyNumberFormat="1" applyFont="1" applyFill="1" applyBorder="1" applyAlignment="1" applyProtection="1">
      <alignment horizontal="center"/>
    </xf>
    <xf numFmtId="0" fontId="11" fillId="0" borderId="81" xfId="3" applyFont="1" applyBorder="1" applyAlignment="1" applyProtection="1">
      <alignment vertical="top"/>
    </xf>
    <xf numFmtId="0" fontId="11" fillId="0" borderId="60" xfId="3" applyFont="1" applyBorder="1" applyAlignment="1" applyProtection="1">
      <alignment vertical="top"/>
    </xf>
    <xf numFmtId="0" fontId="79" fillId="0" borderId="89" xfId="3" applyFont="1" applyBorder="1" applyAlignment="1" applyProtection="1">
      <alignment vertical="top" wrapText="1"/>
    </xf>
    <xf numFmtId="0" fontId="79" fillId="0" borderId="52" xfId="3" applyFont="1" applyBorder="1" applyAlignment="1" applyProtection="1">
      <alignment vertical="top" wrapText="1"/>
    </xf>
    <xf numFmtId="0" fontId="11" fillId="0" borderId="61" xfId="3" applyFont="1" applyFill="1" applyBorder="1" applyAlignment="1" applyProtection="1">
      <alignment horizontal="center" vertical="center"/>
      <protection locked="0"/>
    </xf>
    <xf numFmtId="1" fontId="78" fillId="18" borderId="61" xfId="3" applyNumberFormat="1" applyFont="1" applyFill="1" applyBorder="1" applyAlignment="1" applyProtection="1">
      <alignment horizontal="center"/>
    </xf>
    <xf numFmtId="0" fontId="58" fillId="18" borderId="61" xfId="3" applyFont="1" applyFill="1" applyBorder="1" applyAlignment="1" applyProtection="1">
      <alignment horizontal="center" vertical="center"/>
    </xf>
    <xf numFmtId="2" fontId="58" fillId="18" borderId="61" xfId="3" applyNumberFormat="1" applyFont="1" applyFill="1" applyBorder="1" applyAlignment="1" applyProtection="1">
      <alignment horizontal="center" vertical="center"/>
    </xf>
    <xf numFmtId="2" fontId="58" fillId="18" borderId="62" xfId="3" applyNumberFormat="1" applyFont="1" applyFill="1" applyBorder="1" applyAlignment="1" applyProtection="1">
      <alignment horizontal="center" vertical="center"/>
    </xf>
    <xf numFmtId="0" fontId="78" fillId="18" borderId="61" xfId="3" applyFont="1" applyFill="1" applyBorder="1" applyAlignment="1" applyProtection="1">
      <alignment horizontal="center" vertical="center"/>
    </xf>
    <xf numFmtId="1" fontId="11" fillId="0" borderId="61" xfId="3" applyNumberFormat="1" applyFont="1" applyBorder="1" applyAlignment="1" applyProtection="1">
      <alignment horizontal="center"/>
      <protection locked="0"/>
    </xf>
    <xf numFmtId="0" fontId="40" fillId="0" borderId="99" xfId="3" applyFont="1" applyFill="1" applyBorder="1" applyAlignment="1" applyProtection="1">
      <alignment vertical="center"/>
    </xf>
    <xf numFmtId="1" fontId="61" fillId="13" borderId="1" xfId="3" applyNumberFormat="1" applyFont="1" applyFill="1" applyBorder="1" applyAlignment="1" applyProtection="1">
      <alignment horizontal="right" vertical="center"/>
    </xf>
    <xf numFmtId="2" fontId="61" fillId="13" borderId="71" xfId="3" applyNumberFormat="1" applyFont="1" applyFill="1" applyBorder="1" applyAlignment="1" applyProtection="1">
      <alignment horizontal="right" vertical="center"/>
    </xf>
    <xf numFmtId="2" fontId="61" fillId="13" borderId="72" xfId="3" applyNumberFormat="1" applyFont="1" applyFill="1" applyBorder="1" applyAlignment="1" applyProtection="1">
      <alignment horizontal="right" vertical="center"/>
    </xf>
    <xf numFmtId="0" fontId="40" fillId="0" borderId="4" xfId="3" applyFont="1" applyFill="1" applyBorder="1" applyAlignment="1" applyProtection="1">
      <alignment vertical="center"/>
    </xf>
    <xf numFmtId="1" fontId="61" fillId="0" borderId="4" xfId="3" applyNumberFormat="1" applyFont="1" applyFill="1" applyBorder="1" applyAlignment="1" applyProtection="1">
      <alignment horizontal="right" vertical="center"/>
    </xf>
    <xf numFmtId="0" fontId="40" fillId="0" borderId="4" xfId="3" applyFont="1" applyFill="1" applyBorder="1" applyAlignment="1" applyProtection="1">
      <alignment horizontal="center" vertical="center"/>
    </xf>
    <xf numFmtId="0" fontId="77" fillId="0" borderId="0" xfId="3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 applyProtection="1"/>
    <xf numFmtId="1" fontId="28" fillId="0" borderId="0" xfId="3" applyNumberFormat="1" applyFont="1" applyFill="1" applyBorder="1" applyAlignment="1" applyProtection="1">
      <alignment horizontal="right"/>
    </xf>
    <xf numFmtId="1" fontId="28" fillId="0" borderId="0" xfId="3" applyNumberFormat="1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>
      <alignment horizontal="center"/>
    </xf>
    <xf numFmtId="2" fontId="28" fillId="0" borderId="0" xfId="3" applyNumberFormat="1" applyFont="1" applyFill="1" applyBorder="1" applyAlignment="1" applyProtection="1">
      <alignment horizontal="right"/>
    </xf>
    <xf numFmtId="0" fontId="77" fillId="0" borderId="0" xfId="3" applyFont="1" applyProtection="1"/>
    <xf numFmtId="0" fontId="77" fillId="0" borderId="0" xfId="3" applyFont="1" applyAlignment="1" applyProtection="1">
      <alignment horizontal="center"/>
    </xf>
    <xf numFmtId="0" fontId="46" fillId="17" borderId="5" xfId="3" applyFont="1" applyFill="1" applyBorder="1" applyAlignment="1" applyProtection="1">
      <alignment horizontal="center"/>
    </xf>
    <xf numFmtId="0" fontId="46" fillId="17" borderId="6" xfId="3" applyFont="1" applyFill="1" applyBorder="1" applyAlignment="1" applyProtection="1">
      <alignment horizontal="left"/>
    </xf>
    <xf numFmtId="0" fontId="80" fillId="17" borderId="6" xfId="3" applyFont="1" applyFill="1" applyBorder="1" applyAlignment="1" applyProtection="1">
      <alignment horizontal="left"/>
    </xf>
    <xf numFmtId="0" fontId="80" fillId="17" borderId="7" xfId="3" applyFont="1" applyFill="1" applyBorder="1" applyAlignment="1" applyProtection="1">
      <alignment horizontal="left"/>
    </xf>
    <xf numFmtId="0" fontId="11" fillId="13" borderId="94" xfId="3" applyFont="1" applyFill="1" applyBorder="1" applyAlignment="1" applyProtection="1">
      <alignment horizontal="center"/>
    </xf>
    <xf numFmtId="0" fontId="14" fillId="13" borderId="94" xfId="3" applyFont="1" applyFill="1" applyBorder="1" applyAlignment="1" applyProtection="1">
      <alignment horizontal="center"/>
    </xf>
    <xf numFmtId="0" fontId="28" fillId="13" borderId="31" xfId="3" applyFont="1" applyFill="1" applyBorder="1" applyAlignment="1" applyProtection="1">
      <alignment horizontal="center" vertical="center" wrapText="1"/>
    </xf>
    <xf numFmtId="0" fontId="28" fillId="13" borderId="2" xfId="3" applyFont="1" applyFill="1" applyBorder="1" applyAlignment="1" applyProtection="1">
      <alignment horizontal="center" vertical="center" wrapText="1"/>
    </xf>
    <xf numFmtId="0" fontId="14" fillId="13" borderId="91" xfId="3" applyFont="1" applyFill="1" applyBorder="1" applyAlignment="1" applyProtection="1">
      <alignment horizontal="center" vertical="center" wrapText="1"/>
    </xf>
    <xf numFmtId="0" fontId="28" fillId="13" borderId="100" xfId="3" applyFont="1" applyFill="1" applyBorder="1" applyAlignment="1" applyProtection="1">
      <alignment horizontal="center" vertical="center" wrapText="1"/>
    </xf>
    <xf numFmtId="0" fontId="28" fillId="13" borderId="101" xfId="3" applyFont="1" applyFill="1" applyBorder="1" applyAlignment="1" applyProtection="1">
      <alignment horizontal="center" vertical="center" wrapText="1"/>
    </xf>
    <xf numFmtId="0" fontId="11" fillId="0" borderId="81" xfId="3" applyFont="1" applyBorder="1" applyProtection="1"/>
    <xf numFmtId="0" fontId="81" fillId="0" borderId="88" xfId="3" applyFont="1" applyFill="1" applyBorder="1" applyAlignment="1" applyProtection="1">
      <alignment vertical="top"/>
    </xf>
    <xf numFmtId="0" fontId="81" fillId="0" borderId="51" xfId="3" applyFont="1" applyFill="1" applyBorder="1" applyAlignment="1" applyProtection="1">
      <alignment vertical="top" wrapText="1"/>
    </xf>
    <xf numFmtId="0" fontId="11" fillId="0" borderId="63" xfId="3" applyFont="1" applyFill="1" applyBorder="1" applyAlignment="1" applyProtection="1">
      <alignment horizontal="center"/>
      <protection locked="0"/>
    </xf>
    <xf numFmtId="0" fontId="58" fillId="18" borderId="63" xfId="3" applyFont="1" applyFill="1" applyBorder="1" applyAlignment="1" applyProtection="1">
      <alignment horizontal="center"/>
    </xf>
    <xf numFmtId="2" fontId="58" fillId="18" borderId="63" xfId="3" applyNumberFormat="1" applyFont="1" applyFill="1" applyBorder="1" applyAlignment="1" applyProtection="1">
      <alignment horizontal="center" vertical="center"/>
    </xf>
    <xf numFmtId="0" fontId="81" fillId="0" borderId="89" xfId="3" applyFont="1" applyFill="1" applyBorder="1" applyAlignment="1" applyProtection="1">
      <alignment vertical="top"/>
    </xf>
    <xf numFmtId="0" fontId="81" fillId="0" borderId="52" xfId="3" applyFont="1" applyFill="1" applyBorder="1" applyAlignment="1" applyProtection="1">
      <alignment vertical="top" wrapText="1"/>
    </xf>
    <xf numFmtId="0" fontId="11" fillId="0" borderId="61" xfId="3" applyFont="1" applyFill="1" applyBorder="1" applyAlignment="1" applyProtection="1">
      <alignment horizontal="center"/>
      <protection locked="0"/>
    </xf>
    <xf numFmtId="0" fontId="11" fillId="0" borderId="89" xfId="3" applyFont="1" applyFill="1" applyBorder="1" applyAlignment="1" applyProtection="1">
      <alignment vertical="top"/>
    </xf>
    <xf numFmtId="0" fontId="11" fillId="13" borderId="69" xfId="3" applyFont="1" applyFill="1" applyBorder="1" applyAlignment="1" applyProtection="1">
      <alignment vertical="center"/>
    </xf>
    <xf numFmtId="1" fontId="28" fillId="13" borderId="69" xfId="3" applyNumberFormat="1" applyFont="1" applyFill="1" applyBorder="1" applyAlignment="1" applyProtection="1">
      <alignment horizontal="right" vertical="center"/>
    </xf>
    <xf numFmtId="1" fontId="28" fillId="0" borderId="0" xfId="3" applyNumberFormat="1" applyFont="1" applyFill="1" applyBorder="1" applyAlignment="1" applyProtection="1">
      <alignment horizontal="right" vertical="center"/>
    </xf>
    <xf numFmtId="0" fontId="40" fillId="0" borderId="0" xfId="3" applyFont="1" applyBorder="1" applyAlignment="1" applyProtection="1"/>
    <xf numFmtId="0" fontId="46" fillId="17" borderId="7" xfId="3" applyFont="1" applyFill="1" applyBorder="1" applyAlignment="1" applyProtection="1">
      <alignment horizontal="left"/>
    </xf>
    <xf numFmtId="0" fontId="11" fillId="0" borderId="77" xfId="3" applyFont="1" applyBorder="1" applyAlignment="1" applyProtection="1"/>
    <xf numFmtId="0" fontId="79" fillId="0" borderId="51" xfId="3" applyFont="1" applyBorder="1" applyAlignment="1" applyProtection="1"/>
    <xf numFmtId="0" fontId="11" fillId="0" borderId="81" xfId="3" applyFont="1" applyBorder="1" applyAlignment="1" applyProtection="1"/>
    <xf numFmtId="0" fontId="79" fillId="0" borderId="52" xfId="3" applyFont="1" applyBorder="1" applyAlignment="1" applyProtection="1"/>
    <xf numFmtId="0" fontId="11" fillId="0" borderId="52" xfId="3" applyFont="1" applyBorder="1" applyAlignment="1" applyProtection="1">
      <alignment vertical="top"/>
    </xf>
    <xf numFmtId="0" fontId="77" fillId="0" borderId="0" xfId="3" applyFont="1" applyFill="1" applyBorder="1" applyProtection="1"/>
    <xf numFmtId="0" fontId="77" fillId="0" borderId="0" xfId="3" applyFont="1" applyFill="1" applyBorder="1" applyAlignment="1" applyProtection="1">
      <alignment horizontal="center"/>
    </xf>
    <xf numFmtId="0" fontId="11" fillId="0" borderId="61" xfId="3" applyFont="1" applyBorder="1" applyAlignment="1" applyProtection="1"/>
    <xf numFmtId="0" fontId="79" fillId="0" borderId="89" xfId="3" applyFont="1" applyBorder="1" applyAlignment="1" applyProtection="1"/>
    <xf numFmtId="0" fontId="11" fillId="0" borderId="61" xfId="3" applyFont="1" applyBorder="1" applyAlignment="1" applyProtection="1">
      <alignment vertical="top"/>
    </xf>
    <xf numFmtId="0" fontId="77" fillId="0" borderId="0" xfId="3" applyFont="1" applyAlignment="1" applyProtection="1"/>
    <xf numFmtId="1" fontId="61" fillId="13" borderId="69" xfId="3" applyNumberFormat="1" applyFont="1" applyFill="1" applyBorder="1" applyAlignment="1" applyProtection="1">
      <alignment horizontal="right" vertical="center"/>
    </xf>
    <xf numFmtId="1" fontId="61" fillId="0" borderId="0" xfId="3" applyNumberFormat="1" applyFont="1" applyFill="1" applyBorder="1" applyAlignment="1" applyProtection="1">
      <alignment horizontal="right" vertical="center"/>
    </xf>
    <xf numFmtId="0" fontId="77" fillId="0" borderId="0" xfId="3" applyFont="1" applyFill="1" applyAlignment="1" applyProtection="1"/>
    <xf numFmtId="0" fontId="77" fillId="0" borderId="0" xfId="3" applyFont="1" applyFill="1" applyAlignment="1" applyProtection="1">
      <alignment horizontal="center"/>
    </xf>
    <xf numFmtId="0" fontId="82" fillId="0" borderId="0" xfId="3" applyFont="1" applyAlignment="1" applyProtection="1"/>
    <xf numFmtId="0" fontId="44" fillId="4" borderId="6" xfId="3" applyFont="1" applyFill="1" applyBorder="1" applyAlignment="1" applyProtection="1">
      <alignment horizontal="center" vertical="center" wrapText="1"/>
    </xf>
    <xf numFmtId="0" fontId="82" fillId="0" borderId="0" xfId="3" applyFont="1" applyAlignment="1" applyProtection="1">
      <alignment horizontal="center"/>
    </xf>
    <xf numFmtId="0" fontId="11" fillId="0" borderId="89" xfId="3" applyFont="1" applyBorder="1" applyAlignment="1" applyProtection="1">
      <alignment horizontal="left"/>
    </xf>
    <xf numFmtId="1" fontId="58" fillId="18" borderId="61" xfId="3" applyNumberFormat="1" applyFont="1" applyFill="1" applyBorder="1" applyAlignment="1" applyProtection="1">
      <alignment horizontal="center"/>
    </xf>
    <xf numFmtId="49" fontId="11" fillId="0" borderId="52" xfId="3" applyNumberFormat="1" applyFont="1" applyBorder="1" applyAlignment="1" applyProtection="1"/>
    <xf numFmtId="0" fontId="11" fillId="0" borderId="9" xfId="3" applyFont="1" applyFill="1" applyBorder="1" applyAlignment="1" applyProtection="1"/>
    <xf numFmtId="0" fontId="11" fillId="0" borderId="1" xfId="3" applyFont="1" applyFill="1" applyBorder="1" applyAlignment="1" applyProtection="1"/>
    <xf numFmtId="1" fontId="28" fillId="0" borderId="1" xfId="3" applyNumberFormat="1" applyFont="1" applyFill="1" applyBorder="1" applyAlignment="1" applyProtection="1">
      <alignment horizontal="right"/>
    </xf>
    <xf numFmtId="0" fontId="11" fillId="0" borderId="1" xfId="3" applyFont="1" applyFill="1" applyBorder="1" applyAlignment="1" applyProtection="1">
      <alignment horizontal="center"/>
    </xf>
    <xf numFmtId="2" fontId="28" fillId="0" borderId="1" xfId="3" applyNumberFormat="1" applyFont="1" applyFill="1" applyBorder="1" applyAlignment="1" applyProtection="1">
      <alignment horizontal="right"/>
    </xf>
    <xf numFmtId="2" fontId="28" fillId="0" borderId="10" xfId="3" applyNumberFormat="1" applyFont="1" applyFill="1" applyBorder="1" applyAlignment="1" applyProtection="1">
      <alignment horizontal="right"/>
    </xf>
    <xf numFmtId="0" fontId="11" fillId="4" borderId="6" xfId="3" applyFont="1" applyFill="1" applyBorder="1" applyAlignment="1" applyProtection="1">
      <alignment vertical="center"/>
    </xf>
    <xf numFmtId="0" fontId="40" fillId="4" borderId="7" xfId="3" applyFont="1" applyFill="1" applyBorder="1" applyAlignment="1" applyProtection="1">
      <alignment vertical="center"/>
    </xf>
    <xf numFmtId="0" fontId="11" fillId="0" borderId="0" xfId="3" applyFont="1" applyBorder="1" applyAlignment="1" applyProtection="1"/>
    <xf numFmtId="0" fontId="39" fillId="0" borderId="77" xfId="3" applyFont="1" applyBorder="1" applyAlignment="1" applyProtection="1"/>
    <xf numFmtId="0" fontId="11" fillId="0" borderId="60" xfId="3" applyFont="1" applyBorder="1" applyAlignment="1" applyProtection="1">
      <alignment horizontal="left"/>
    </xf>
    <xf numFmtId="0" fontId="39" fillId="0" borderId="89" xfId="3" applyFont="1" applyBorder="1" applyAlignment="1" applyProtection="1"/>
    <xf numFmtId="0" fontId="39" fillId="0" borderId="52" xfId="3" applyFont="1" applyBorder="1" applyAlignment="1" applyProtection="1"/>
    <xf numFmtId="0" fontId="39" fillId="0" borderId="81" xfId="3" applyFont="1" applyBorder="1" applyAlignment="1" applyProtection="1"/>
    <xf numFmtId="0" fontId="40" fillId="0" borderId="0" xfId="3" applyFont="1" applyFill="1" applyBorder="1" applyAlignment="1" applyProtection="1"/>
    <xf numFmtId="0" fontId="83" fillId="4" borderId="6" xfId="3" applyFont="1" applyFill="1" applyBorder="1" applyAlignment="1" applyProtection="1">
      <alignment horizontal="left" vertical="center"/>
    </xf>
    <xf numFmtId="0" fontId="11" fillId="0" borderId="0" xfId="3" applyFont="1" applyBorder="1" applyProtection="1"/>
    <xf numFmtId="0" fontId="81" fillId="0" borderId="52" xfId="3" applyFont="1" applyFill="1" applyBorder="1" applyAlignment="1" applyProtection="1">
      <alignment vertical="top"/>
    </xf>
    <xf numFmtId="0" fontId="11" fillId="0" borderId="0" xfId="3" applyFont="1" applyAlignment="1" applyProtection="1"/>
    <xf numFmtId="0" fontId="11" fillId="0" borderId="0" xfId="3" applyFont="1" applyAlignment="1" applyProtection="1">
      <protection locked="0"/>
    </xf>
    <xf numFmtId="0" fontId="11" fillId="0" borderId="61" xfId="3" applyFont="1" applyFill="1" applyBorder="1" applyAlignment="1" applyProtection="1">
      <alignment vertical="top"/>
    </xf>
    <xf numFmtId="0" fontId="11" fillId="0" borderId="61" xfId="3" applyFont="1" applyBorder="1" applyAlignment="1" applyProtection="1">
      <alignment horizontal="center" vertical="center"/>
      <protection locked="0"/>
    </xf>
    <xf numFmtId="0" fontId="11" fillId="0" borderId="0" xfId="3" applyFont="1" applyBorder="1" applyAlignment="1" applyProtection="1">
      <alignment vertical="center"/>
    </xf>
    <xf numFmtId="0" fontId="44" fillId="4" borderId="3" xfId="3" applyFont="1" applyFill="1" applyBorder="1" applyAlignment="1" applyProtection="1">
      <alignment horizontal="right" vertical="center"/>
    </xf>
    <xf numFmtId="0" fontId="44" fillId="4" borderId="4" xfId="3" applyFont="1" applyFill="1" applyBorder="1" applyAlignment="1" applyProtection="1">
      <alignment horizontal="left" vertical="center"/>
    </xf>
    <xf numFmtId="0" fontId="40" fillId="4" borderId="4" xfId="3" applyFont="1" applyFill="1" applyBorder="1" applyAlignment="1" applyProtection="1">
      <alignment vertical="center"/>
    </xf>
    <xf numFmtId="0" fontId="62" fillId="4" borderId="4" xfId="3" applyFont="1" applyFill="1" applyBorder="1" applyAlignment="1" applyProtection="1">
      <alignment horizontal="center" vertical="center" wrapText="1"/>
    </xf>
    <xf numFmtId="0" fontId="40" fillId="4" borderId="4" xfId="3" applyFont="1" applyFill="1" applyBorder="1" applyAlignment="1" applyProtection="1">
      <alignment horizontal="center" vertical="center" wrapText="1"/>
    </xf>
    <xf numFmtId="0" fontId="63" fillId="4" borderId="31" xfId="3" applyFont="1" applyFill="1" applyBorder="1" applyAlignment="1" applyProtection="1">
      <alignment horizontal="center" vertical="center" wrapText="1"/>
    </xf>
    <xf numFmtId="0" fontId="14" fillId="13" borderId="65" xfId="3" applyFont="1" applyFill="1" applyBorder="1" applyAlignment="1" applyProtection="1">
      <alignment horizontal="center"/>
    </xf>
    <xf numFmtId="0" fontId="14" fillId="13" borderId="85" xfId="3" applyFont="1" applyFill="1" applyBorder="1" applyAlignment="1" applyProtection="1">
      <alignment horizontal="center"/>
    </xf>
    <xf numFmtId="0" fontId="28" fillId="13" borderId="85" xfId="3" applyFont="1" applyFill="1" applyBorder="1" applyAlignment="1" applyProtection="1">
      <alignment horizontal="center"/>
    </xf>
    <xf numFmtId="0" fontId="85" fillId="13" borderId="86" xfId="3" applyFont="1" applyFill="1" applyBorder="1" applyAlignment="1" applyProtection="1">
      <alignment horizontal="center"/>
    </xf>
    <xf numFmtId="0" fontId="28" fillId="13" borderId="73" xfId="3" applyFont="1" applyFill="1" applyBorder="1" applyAlignment="1" applyProtection="1">
      <alignment horizontal="center"/>
    </xf>
    <xf numFmtId="0" fontId="14" fillId="13" borderId="12" xfId="3" applyFont="1" applyFill="1" applyBorder="1" applyAlignment="1" applyProtection="1">
      <alignment horizontal="center"/>
    </xf>
    <xf numFmtId="0" fontId="85" fillId="13" borderId="90" xfId="3" applyFont="1" applyFill="1" applyBorder="1" applyAlignment="1" applyProtection="1">
      <alignment horizontal="center"/>
    </xf>
    <xf numFmtId="0" fontId="14" fillId="13" borderId="67" xfId="3" applyFont="1" applyFill="1" applyBorder="1" applyAlignment="1" applyProtection="1">
      <alignment horizontal="center"/>
    </xf>
    <xf numFmtId="0" fontId="14" fillId="13" borderId="51" xfId="3" applyFont="1" applyFill="1" applyBorder="1" applyAlignment="1" applyProtection="1">
      <alignment horizontal="center"/>
    </xf>
    <xf numFmtId="0" fontId="85" fillId="13" borderId="91" xfId="3" applyFont="1" applyFill="1" applyBorder="1" applyAlignment="1" applyProtection="1">
      <alignment horizontal="center"/>
    </xf>
    <xf numFmtId="2" fontId="28" fillId="13" borderId="63" xfId="3" applyNumberFormat="1" applyFont="1" applyFill="1" applyBorder="1" applyAlignment="1" applyProtection="1">
      <alignment horizontal="center"/>
    </xf>
    <xf numFmtId="0" fontId="28" fillId="13" borderId="64" xfId="3" applyFont="1" applyFill="1" applyBorder="1" applyAlignment="1" applyProtection="1">
      <alignment horizontal="center"/>
    </xf>
    <xf numFmtId="0" fontId="70" fillId="3" borderId="75" xfId="3" applyFont="1" applyFill="1" applyBorder="1" applyAlignment="1" applyProtection="1">
      <alignment horizontal="center"/>
    </xf>
    <xf numFmtId="2" fontId="71" fillId="3" borderId="63" xfId="3" applyNumberFormat="1" applyFont="1" applyFill="1" applyBorder="1" applyAlignment="1" applyProtection="1">
      <alignment horizontal="center"/>
    </xf>
    <xf numFmtId="0" fontId="11" fillId="0" borderId="0" xfId="3" applyFont="1" applyAlignment="1" applyProtection="1">
      <alignment horizontal="center"/>
      <protection locked="0"/>
    </xf>
    <xf numFmtId="2" fontId="57" fillId="18" borderId="63" xfId="3" applyNumberFormat="1" applyFont="1" applyFill="1" applyBorder="1" applyAlignment="1" applyProtection="1">
      <alignment horizontal="center"/>
    </xf>
    <xf numFmtId="0" fontId="28" fillId="13" borderId="69" xfId="3" applyFont="1" applyFill="1" applyBorder="1" applyAlignment="1" applyProtection="1">
      <alignment horizontal="right"/>
    </xf>
    <xf numFmtId="0" fontId="11" fillId="0" borderId="1" xfId="3" applyFont="1" applyFill="1" applyBorder="1" applyProtection="1"/>
    <xf numFmtId="0" fontId="28" fillId="0" borderId="1" xfId="3" applyFont="1" applyFill="1" applyBorder="1" applyAlignment="1" applyProtection="1">
      <alignment horizontal="right"/>
    </xf>
    <xf numFmtId="0" fontId="44" fillId="0" borderId="1" xfId="3" applyFont="1" applyFill="1" applyBorder="1" applyAlignment="1" applyProtection="1">
      <alignment horizontal="right" vertical="center"/>
    </xf>
    <xf numFmtId="2" fontId="61" fillId="0" borderId="1" xfId="3" applyNumberFormat="1" applyFont="1" applyFill="1" applyBorder="1" applyAlignment="1" applyProtection="1">
      <alignment horizontal="right" vertical="center"/>
    </xf>
    <xf numFmtId="2" fontId="61" fillId="0" borderId="10" xfId="3" applyNumberFormat="1" applyFont="1" applyFill="1" applyBorder="1" applyAlignment="1" applyProtection="1">
      <alignment horizontal="right" vertical="center"/>
    </xf>
    <xf numFmtId="0" fontId="44" fillId="4" borderId="3" xfId="3" applyFont="1" applyFill="1" applyBorder="1" applyAlignment="1" applyProtection="1">
      <alignment horizontal="right" vertical="top"/>
    </xf>
    <xf numFmtId="0" fontId="14" fillId="13" borderId="84" xfId="3" applyFont="1" applyFill="1" applyBorder="1" applyAlignment="1" applyProtection="1">
      <alignment horizontal="center"/>
    </xf>
    <xf numFmtId="0" fontId="50" fillId="13" borderId="82" xfId="3" applyFont="1" applyFill="1" applyBorder="1" applyAlignment="1" applyProtection="1">
      <alignment horizontal="center" vertical="center"/>
    </xf>
    <xf numFmtId="0" fontId="14" fillId="13" borderId="78" xfId="3" applyFont="1" applyFill="1" applyBorder="1" applyAlignment="1" applyProtection="1">
      <alignment horizontal="center"/>
    </xf>
    <xf numFmtId="0" fontId="14" fillId="13" borderId="88" xfId="3" applyFont="1" applyFill="1" applyBorder="1" applyAlignment="1" applyProtection="1">
      <alignment horizontal="center"/>
    </xf>
    <xf numFmtId="0" fontId="33" fillId="13" borderId="63" xfId="3" applyFont="1" applyFill="1" applyBorder="1" applyAlignment="1" applyProtection="1">
      <alignment horizontal="center"/>
    </xf>
    <xf numFmtId="0" fontId="89" fillId="13" borderId="63" xfId="3" applyFont="1" applyFill="1" applyBorder="1" applyAlignment="1" applyProtection="1">
      <alignment horizontal="center" vertical="center" wrapText="1"/>
    </xf>
    <xf numFmtId="0" fontId="71" fillId="3" borderId="61" xfId="3" applyFont="1" applyFill="1" applyBorder="1" applyAlignment="1" applyProtection="1"/>
    <xf numFmtId="0" fontId="71" fillId="3" borderId="63" xfId="3" applyFont="1" applyFill="1" applyBorder="1" applyAlignment="1" applyProtection="1">
      <alignment horizontal="center"/>
    </xf>
    <xf numFmtId="2" fontId="71" fillId="3" borderId="64" xfId="3" applyNumberFormat="1" applyFont="1" applyFill="1" applyBorder="1" applyAlignment="1" applyProtection="1">
      <alignment horizontal="center"/>
    </xf>
    <xf numFmtId="0" fontId="11" fillId="11" borderId="61" xfId="3" applyFont="1" applyFill="1" applyBorder="1" applyAlignment="1" applyProtection="1">
      <alignment horizontal="center"/>
      <protection locked="0"/>
    </xf>
    <xf numFmtId="0" fontId="39" fillId="13" borderId="68" xfId="3" applyFont="1" applyFill="1" applyBorder="1" applyAlignment="1" applyProtection="1">
      <alignment vertical="center"/>
    </xf>
    <xf numFmtId="0" fontId="58" fillId="0" borderId="1" xfId="3" applyFont="1" applyFill="1" applyBorder="1" applyAlignment="1" applyProtection="1">
      <alignment horizontal="center"/>
    </xf>
    <xf numFmtId="2" fontId="61" fillId="0" borderId="1" xfId="3" applyNumberFormat="1" applyFont="1" applyFill="1" applyBorder="1" applyAlignment="1" applyProtection="1">
      <alignment horizontal="center" vertical="center"/>
    </xf>
    <xf numFmtId="2" fontId="61" fillId="0" borderId="10" xfId="3" applyNumberFormat="1" applyFont="1" applyFill="1" applyBorder="1" applyAlignment="1" applyProtection="1">
      <alignment horizontal="center" vertical="center"/>
    </xf>
    <xf numFmtId="0" fontId="79" fillId="13" borderId="63" xfId="3" applyFont="1" applyFill="1" applyBorder="1" applyAlignment="1" applyProtection="1">
      <alignment horizontal="center" vertical="center" wrapText="1"/>
    </xf>
    <xf numFmtId="0" fontId="90" fillId="18" borderId="75" xfId="3" applyFont="1" applyFill="1" applyBorder="1" applyProtection="1"/>
    <xf numFmtId="0" fontId="77" fillId="0" borderId="0" xfId="3" applyFont="1" applyFill="1" applyProtection="1"/>
    <xf numFmtId="0" fontId="11" fillId="0" borderId="0" xfId="3" applyFont="1" applyAlignment="1" applyProtection="1">
      <alignment vertical="center" wrapText="1"/>
    </xf>
    <xf numFmtId="0" fontId="11" fillId="0" borderId="0" xfId="3" applyFont="1" applyAlignment="1" applyProtection="1">
      <alignment horizontal="center" vertical="center" wrapText="1"/>
    </xf>
    <xf numFmtId="0" fontId="46" fillId="17" borderId="3" xfId="3" applyFont="1" applyFill="1" applyBorder="1" applyAlignment="1" applyProtection="1">
      <alignment horizontal="center"/>
    </xf>
    <xf numFmtId="0" fontId="46" fillId="17" borderId="4" xfId="3" applyFont="1" applyFill="1" applyBorder="1" applyAlignment="1" applyProtection="1">
      <alignment horizontal="left"/>
    </xf>
    <xf numFmtId="0" fontId="80" fillId="17" borderId="4" xfId="3" applyFont="1" applyFill="1" applyBorder="1" applyAlignment="1" applyProtection="1">
      <alignment horizontal="left"/>
    </xf>
    <xf numFmtId="0" fontId="80" fillId="17" borderId="31" xfId="3" applyFont="1" applyFill="1" applyBorder="1" applyAlignment="1" applyProtection="1">
      <alignment horizontal="left"/>
    </xf>
    <xf numFmtId="0" fontId="14" fillId="13" borderId="77" xfId="3" applyFont="1" applyFill="1" applyBorder="1" applyAlignment="1" applyProtection="1">
      <alignment horizontal="center" vertical="center" wrapText="1"/>
    </xf>
    <xf numFmtId="0" fontId="14" fillId="13" borderId="73" xfId="3" applyFont="1" applyFill="1" applyBorder="1" applyAlignment="1" applyProtection="1">
      <alignment horizontal="center" vertical="center" wrapText="1"/>
    </xf>
    <xf numFmtId="0" fontId="14" fillId="13" borderId="78" xfId="3" applyFont="1" applyFill="1" applyBorder="1" applyAlignment="1" applyProtection="1">
      <alignment vertical="center" wrapText="1"/>
    </xf>
    <xf numFmtId="0" fontId="14" fillId="13" borderId="88" xfId="3" applyFont="1" applyFill="1" applyBorder="1" applyAlignment="1" applyProtection="1">
      <alignment vertical="center"/>
    </xf>
    <xf numFmtId="0" fontId="14" fillId="13" borderId="51" xfId="3" applyFont="1" applyFill="1" applyBorder="1" applyAlignment="1" applyProtection="1">
      <alignment vertical="center"/>
    </xf>
    <xf numFmtId="0" fontId="79" fillId="0" borderId="0" xfId="3" applyFont="1" applyBorder="1" applyAlignment="1" applyProtection="1"/>
    <xf numFmtId="1" fontId="28" fillId="0" borderId="0" xfId="3" applyNumberFormat="1" applyFont="1" applyBorder="1" applyAlignment="1" applyProtection="1">
      <alignment horizontal="right"/>
    </xf>
    <xf numFmtId="1" fontId="28" fillId="0" borderId="0" xfId="3" applyNumberFormat="1" applyFont="1" applyBorder="1" applyAlignment="1" applyProtection="1">
      <alignment horizontal="center"/>
    </xf>
    <xf numFmtId="0" fontId="11" fillId="0" borderId="0" xfId="3" applyFont="1" applyBorder="1" applyAlignment="1" applyProtection="1">
      <alignment horizontal="center"/>
    </xf>
    <xf numFmtId="2" fontId="28" fillId="0" borderId="0" xfId="3" applyNumberFormat="1" applyFont="1" applyBorder="1" applyAlignment="1" applyProtection="1">
      <alignment horizontal="right"/>
    </xf>
    <xf numFmtId="0" fontId="39" fillId="0" borderId="0" xfId="3" applyFont="1" applyBorder="1" applyAlignment="1" applyProtection="1"/>
    <xf numFmtId="0" fontId="80" fillId="17" borderId="6" xfId="3" applyFont="1" applyFill="1" applyBorder="1" applyAlignment="1" applyProtection="1">
      <alignment horizontal="left" vertical="center"/>
    </xf>
    <xf numFmtId="0" fontId="75" fillId="4" borderId="6" xfId="3" applyFont="1" applyFill="1" applyBorder="1" applyAlignment="1" applyProtection="1">
      <alignment vertical="center"/>
    </xf>
    <xf numFmtId="0" fontId="11" fillId="13" borderId="31" xfId="3" applyFont="1" applyFill="1" applyBorder="1" applyAlignment="1" applyProtection="1">
      <alignment horizontal="center"/>
    </xf>
    <xf numFmtId="0" fontId="14" fillId="13" borderId="13" xfId="3" applyFont="1" applyFill="1" applyBorder="1" applyAlignment="1" applyProtection="1">
      <alignment horizontal="center"/>
    </xf>
    <xf numFmtId="0" fontId="28" fillId="13" borderId="22" xfId="3" applyFont="1" applyFill="1" applyBorder="1" applyAlignment="1" applyProtection="1">
      <alignment horizontal="center" vertical="center" wrapText="1"/>
    </xf>
    <xf numFmtId="0" fontId="14" fillId="13" borderId="9" xfId="3" applyFont="1" applyFill="1" applyBorder="1" applyAlignment="1" applyProtection="1">
      <alignment horizontal="center"/>
    </xf>
    <xf numFmtId="0" fontId="11" fillId="13" borderId="1" xfId="3" applyFont="1" applyFill="1" applyBorder="1" applyAlignment="1" applyProtection="1">
      <alignment horizontal="center"/>
    </xf>
    <xf numFmtId="0" fontId="11" fillId="13" borderId="10" xfId="3" applyFont="1" applyFill="1" applyBorder="1" applyAlignment="1" applyProtection="1">
      <alignment horizontal="center"/>
    </xf>
    <xf numFmtId="0" fontId="11" fillId="0" borderId="102" xfId="3" applyFont="1" applyBorder="1" applyAlignment="1" applyProtection="1">
      <alignment horizontal="center" vertical="top"/>
    </xf>
    <xf numFmtId="0" fontId="11" fillId="0" borderId="14" xfId="3" applyFont="1" applyBorder="1" applyAlignment="1" applyProtection="1">
      <alignment horizontal="center" vertical="center"/>
      <protection locked="0"/>
    </xf>
    <xf numFmtId="0" fontId="58" fillId="18" borderId="14" xfId="3" applyFont="1" applyFill="1" applyBorder="1" applyAlignment="1" applyProtection="1">
      <alignment horizontal="center" vertical="center"/>
    </xf>
    <xf numFmtId="2" fontId="58" fillId="18" borderId="14" xfId="3" applyNumberFormat="1" applyFont="1" applyFill="1" applyBorder="1" applyAlignment="1" applyProtection="1">
      <alignment horizontal="center" vertical="center"/>
    </xf>
    <xf numFmtId="0" fontId="11" fillId="12" borderId="103" xfId="3" applyFont="1" applyFill="1" applyBorder="1" applyProtection="1"/>
    <xf numFmtId="0" fontId="11" fillId="12" borderId="29" xfId="3" applyFont="1" applyFill="1" applyBorder="1" applyAlignment="1" applyProtection="1"/>
    <xf numFmtId="1" fontId="28" fillId="12" borderId="1" xfId="3" applyNumberFormat="1" applyFont="1" applyFill="1" applyBorder="1" applyAlignment="1" applyProtection="1">
      <alignment horizontal="right"/>
    </xf>
    <xf numFmtId="0" fontId="11" fillId="12" borderId="8" xfId="3" applyFont="1" applyFill="1" applyBorder="1" applyAlignment="1" applyProtection="1">
      <alignment horizontal="center"/>
    </xf>
    <xf numFmtId="2" fontId="28" fillId="12" borderId="8" xfId="3" applyNumberFormat="1" applyFont="1" applyFill="1" applyBorder="1" applyAlignment="1" applyProtection="1">
      <alignment horizontal="right"/>
    </xf>
    <xf numFmtId="0" fontId="11" fillId="0" borderId="0" xfId="3" applyFont="1" applyBorder="1" applyAlignment="1" applyProtection="1">
      <alignment vertical="center" wrapText="1"/>
    </xf>
    <xf numFmtId="0" fontId="28" fillId="13" borderId="66" xfId="3" applyFont="1" applyFill="1" applyBorder="1" applyAlignment="1" applyProtection="1">
      <alignment horizontal="center"/>
    </xf>
    <xf numFmtId="49" fontId="92" fillId="0" borderId="75" xfId="3" applyNumberFormat="1" applyFont="1" applyFill="1" applyBorder="1" applyProtection="1"/>
    <xf numFmtId="49" fontId="92" fillId="0" borderId="89" xfId="3" applyNumberFormat="1" applyFont="1" applyFill="1" applyBorder="1" applyProtection="1"/>
    <xf numFmtId="0" fontId="11" fillId="0" borderId="52" xfId="3" applyFont="1" applyFill="1" applyBorder="1" applyAlignment="1" applyProtection="1"/>
    <xf numFmtId="0" fontId="14" fillId="0" borderId="61" xfId="3" applyFont="1" applyBorder="1" applyAlignment="1" applyProtection="1">
      <alignment horizontal="center"/>
    </xf>
    <xf numFmtId="0" fontId="11" fillId="18" borderId="61" xfId="3" applyFont="1" applyFill="1" applyBorder="1" applyAlignment="1" applyProtection="1"/>
    <xf numFmtId="0" fontId="11" fillId="18" borderId="62" xfId="3" applyFont="1" applyFill="1" applyBorder="1" applyAlignment="1" applyProtection="1"/>
    <xf numFmtId="0" fontId="11" fillId="12" borderId="75" xfId="3" applyFont="1" applyFill="1" applyBorder="1" applyProtection="1"/>
    <xf numFmtId="0" fontId="11" fillId="12" borderId="89" xfId="3" applyFont="1" applyFill="1" applyBorder="1" applyProtection="1"/>
    <xf numFmtId="0" fontId="28" fillId="12" borderId="52" xfId="3" applyFont="1" applyFill="1" applyBorder="1" applyAlignment="1" applyProtection="1">
      <alignment horizontal="right"/>
    </xf>
    <xf numFmtId="0" fontId="14" fillId="12" borderId="60" xfId="3" applyFont="1" applyFill="1" applyBorder="1" applyAlignment="1" applyProtection="1">
      <alignment horizontal="right"/>
    </xf>
    <xf numFmtId="2" fontId="28" fillId="12" borderId="61" xfId="3" applyNumberFormat="1" applyFont="1" applyFill="1" applyBorder="1" applyAlignment="1" applyProtection="1">
      <alignment horizontal="right"/>
    </xf>
    <xf numFmtId="2" fontId="28" fillId="12" borderId="62" xfId="3" applyNumberFormat="1" applyFont="1" applyFill="1" applyBorder="1" applyAlignment="1" applyProtection="1">
      <alignment horizontal="right"/>
    </xf>
    <xf numFmtId="0" fontId="11" fillId="0" borderId="75" xfId="2" applyFont="1" applyFill="1" applyBorder="1" applyAlignment="1" applyProtection="1">
      <alignment vertical="top"/>
    </xf>
    <xf numFmtId="0" fontId="28" fillId="0" borderId="61" xfId="3" applyFont="1" applyBorder="1" applyAlignment="1" applyProtection="1">
      <alignment horizontal="center"/>
    </xf>
    <xf numFmtId="0" fontId="11" fillId="13" borderId="68" xfId="3" applyFont="1" applyFill="1" applyBorder="1" applyProtection="1"/>
    <xf numFmtId="0" fontId="61" fillId="13" borderId="70" xfId="3" applyFont="1" applyFill="1" applyBorder="1" applyAlignment="1" applyProtection="1">
      <alignment horizontal="right" vertical="center"/>
    </xf>
    <xf numFmtId="0" fontId="44" fillId="13" borderId="71" xfId="3" applyFont="1" applyFill="1" applyBorder="1" applyAlignment="1" applyProtection="1">
      <alignment horizontal="right" vertical="center"/>
    </xf>
    <xf numFmtId="0" fontId="61" fillId="0" borderId="0" xfId="3" applyFont="1" applyFill="1" applyBorder="1" applyAlignment="1" applyProtection="1">
      <alignment horizontal="center" vertical="center"/>
    </xf>
    <xf numFmtId="0" fontId="40" fillId="0" borderId="0" xfId="3" applyFont="1" applyAlignment="1" applyProtection="1">
      <alignment horizontal="center"/>
    </xf>
    <xf numFmtId="0" fontId="72" fillId="3" borderId="91" xfId="3" applyFont="1" applyFill="1" applyBorder="1" applyAlignment="1" applyProtection="1">
      <alignment horizontal="center" vertical="center"/>
    </xf>
    <xf numFmtId="1" fontId="71" fillId="3" borderId="63" xfId="3" applyNumberFormat="1" applyFont="1" applyFill="1" applyBorder="1" applyAlignment="1" applyProtection="1">
      <alignment horizontal="center" vertical="center"/>
    </xf>
    <xf numFmtId="2" fontId="71" fillId="3" borderId="63" xfId="3" applyNumberFormat="1" applyFont="1" applyFill="1" applyBorder="1" applyAlignment="1" applyProtection="1">
      <alignment horizontal="center" vertical="center"/>
    </xf>
    <xf numFmtId="2" fontId="71" fillId="3" borderId="62" xfId="3" applyNumberFormat="1" applyFont="1" applyFill="1" applyBorder="1" applyAlignment="1" applyProtection="1">
      <alignment horizontal="center" vertical="center"/>
    </xf>
    <xf numFmtId="0" fontId="11" fillId="18" borderId="75" xfId="3" applyFont="1" applyFill="1" applyBorder="1" applyAlignment="1" applyProtection="1">
      <alignment vertical="center"/>
    </xf>
    <xf numFmtId="0" fontId="88" fillId="18" borderId="91" xfId="3" applyFont="1" applyFill="1" applyBorder="1" applyAlignment="1" applyProtection="1">
      <alignment horizontal="center" vertical="center"/>
    </xf>
    <xf numFmtId="1" fontId="57" fillId="18" borderId="63" xfId="3" applyNumberFormat="1" applyFont="1" applyFill="1" applyBorder="1" applyAlignment="1" applyProtection="1">
      <alignment horizontal="center" vertical="center"/>
    </xf>
    <xf numFmtId="2" fontId="57" fillId="18" borderId="63" xfId="3" applyNumberFormat="1" applyFont="1" applyFill="1" applyBorder="1" applyAlignment="1" applyProtection="1">
      <alignment horizontal="center" vertical="center"/>
    </xf>
    <xf numFmtId="2" fontId="57" fillId="18" borderId="62" xfId="3" applyNumberFormat="1" applyFont="1" applyFill="1" applyBorder="1" applyAlignment="1" applyProtection="1">
      <alignment horizontal="center" vertical="center"/>
    </xf>
    <xf numFmtId="0" fontId="55" fillId="3" borderId="61" xfId="3" applyFont="1" applyFill="1" applyBorder="1" applyAlignment="1" applyProtection="1">
      <alignment horizontal="center" vertical="center" wrapText="1"/>
    </xf>
    <xf numFmtId="4" fontId="54" fillId="3" borderId="61" xfId="3" applyNumberFormat="1" applyFont="1" applyFill="1" applyBorder="1" applyAlignment="1" applyProtection="1">
      <alignment horizontal="center"/>
    </xf>
    <xf numFmtId="4" fontId="54" fillId="3" borderId="62" xfId="3" applyNumberFormat="1" applyFont="1" applyFill="1" applyBorder="1" applyAlignment="1" applyProtection="1">
      <alignment horizontal="center"/>
    </xf>
    <xf numFmtId="0" fontId="32" fillId="13" borderId="63" xfId="3" applyFont="1" applyFill="1" applyBorder="1" applyAlignment="1" applyProtection="1">
      <alignment horizontal="center"/>
    </xf>
    <xf numFmtId="0" fontId="96" fillId="0" borderId="0" xfId="3" applyFont="1" applyProtection="1"/>
    <xf numFmtId="0" fontId="41" fillId="0" borderId="0" xfId="1" applyFont="1" applyBorder="1" applyProtection="1"/>
    <xf numFmtId="0" fontId="40" fillId="0" borderId="0" xfId="10" applyFont="1" applyProtection="1"/>
    <xf numFmtId="0" fontId="43" fillId="0" borderId="0" xfId="10" applyFont="1" applyProtection="1"/>
    <xf numFmtId="0" fontId="40" fillId="0" borderId="0" xfId="10" applyFont="1" applyAlignment="1" applyProtection="1">
      <alignment horizontal="center"/>
    </xf>
    <xf numFmtId="0" fontId="40" fillId="0" borderId="0" xfId="10" applyFont="1" applyProtection="1">
      <protection locked="0"/>
    </xf>
    <xf numFmtId="0" fontId="40" fillId="0" borderId="0" xfId="10" applyFont="1" applyAlignment="1" applyProtection="1">
      <alignment horizontal="center"/>
      <protection locked="0"/>
    </xf>
    <xf numFmtId="0" fontId="97" fillId="0" borderId="0" xfId="1" applyFont="1" applyProtection="1"/>
    <xf numFmtId="0" fontId="44" fillId="0" borderId="74" xfId="10" applyFont="1" applyBorder="1" applyAlignment="1" applyProtection="1">
      <alignment horizontal="center" vertical="center"/>
    </xf>
    <xf numFmtId="0" fontId="44" fillId="0" borderId="55" xfId="10" applyFont="1" applyBorder="1" applyAlignment="1" applyProtection="1">
      <alignment horizontal="center" vertical="center"/>
    </xf>
    <xf numFmtId="0" fontId="44" fillId="0" borderId="56" xfId="10" applyFont="1" applyBorder="1" applyAlignment="1" applyProtection="1">
      <alignment horizontal="center" vertical="center" wrapText="1"/>
    </xf>
    <xf numFmtId="0" fontId="44" fillId="0" borderId="57" xfId="10" applyFont="1" applyBorder="1" applyAlignment="1" applyProtection="1">
      <alignment horizontal="center" vertical="center"/>
    </xf>
    <xf numFmtId="0" fontId="2" fillId="0" borderId="75" xfId="10" applyFont="1" applyBorder="1" applyAlignment="1" applyProtection="1">
      <alignment horizontal="center" vertical="center"/>
    </xf>
    <xf numFmtId="0" fontId="2" fillId="0" borderId="61" xfId="10" applyFont="1" applyBorder="1" applyAlignment="1" applyProtection="1">
      <alignment horizontal="center" vertical="center" wrapText="1"/>
    </xf>
    <xf numFmtId="0" fontId="2" fillId="0" borderId="62" xfId="10" applyFont="1" applyBorder="1" applyAlignment="1" applyProtection="1">
      <alignment horizontal="center" vertical="center" wrapText="1"/>
    </xf>
    <xf numFmtId="0" fontId="2" fillId="0" borderId="77" xfId="10" applyFont="1" applyBorder="1" applyAlignment="1" applyProtection="1">
      <alignment horizontal="center" vertical="center"/>
    </xf>
    <xf numFmtId="0" fontId="2" fillId="0" borderId="59" xfId="10" applyFont="1" applyBorder="1" applyAlignment="1" applyProtection="1">
      <alignment horizontal="center" vertical="center" wrapText="1"/>
    </xf>
    <xf numFmtId="0" fontId="2" fillId="0" borderId="81" xfId="10" applyFont="1" applyBorder="1" applyAlignment="1" applyProtection="1">
      <alignment horizontal="center" vertical="center"/>
    </xf>
    <xf numFmtId="0" fontId="2" fillId="0" borderId="87" xfId="10" applyFont="1" applyBorder="1" applyAlignment="1" applyProtection="1">
      <alignment horizontal="left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2" fillId="0" borderId="90" xfId="10" applyFont="1" applyBorder="1" applyAlignment="1" applyProtection="1">
      <alignment horizontal="left" vertical="center" wrapText="1"/>
    </xf>
    <xf numFmtId="0" fontId="2" fillId="0" borderId="82" xfId="10" applyFont="1" applyBorder="1" applyAlignment="1" applyProtection="1">
      <alignment horizontal="center" vertical="center" wrapText="1"/>
    </xf>
    <xf numFmtId="0" fontId="2" fillId="0" borderId="13" xfId="10" applyFont="1" applyBorder="1" applyAlignment="1" applyProtection="1">
      <alignment horizontal="center" vertical="center" wrapText="1"/>
    </xf>
    <xf numFmtId="0" fontId="2" fillId="0" borderId="99" xfId="10" applyFont="1" applyBorder="1" applyAlignment="1" applyProtection="1">
      <alignment horizontal="center" vertical="center"/>
    </xf>
    <xf numFmtId="0" fontId="2" fillId="0" borderId="105" xfId="10" applyFont="1" applyBorder="1" applyAlignment="1" applyProtection="1">
      <alignment horizontal="left" vertical="center" wrapText="1"/>
    </xf>
    <xf numFmtId="0" fontId="2" fillId="0" borderId="1" xfId="10" applyFont="1" applyBorder="1" applyAlignment="1" applyProtection="1">
      <alignment horizontal="left" vertical="center" wrapText="1"/>
    </xf>
    <xf numFmtId="0" fontId="2" fillId="0" borderId="83" xfId="10" applyFont="1" applyBorder="1" applyAlignment="1" applyProtection="1">
      <alignment horizontal="left" vertical="center" wrapText="1"/>
    </xf>
    <xf numFmtId="0" fontId="2" fillId="0" borderId="97" xfId="10" applyFont="1" applyBorder="1" applyAlignment="1" applyProtection="1">
      <alignment horizontal="center" vertical="center" wrapText="1"/>
    </xf>
    <xf numFmtId="0" fontId="2" fillId="0" borderId="10" xfId="10" applyFont="1" applyBorder="1" applyAlignment="1" applyProtection="1">
      <alignment horizontal="center" vertical="center" wrapText="1"/>
    </xf>
    <xf numFmtId="0" fontId="14" fillId="0" borderId="11" xfId="10" applyFont="1" applyBorder="1" applyAlignment="1" applyProtection="1">
      <alignment horizontal="center" vertical="center" wrapText="1"/>
    </xf>
    <xf numFmtId="0" fontId="46" fillId="17" borderId="5" xfId="10" applyFont="1" applyFill="1" applyBorder="1" applyAlignment="1" applyProtection="1">
      <alignment horizontal="left"/>
    </xf>
    <xf numFmtId="0" fontId="46" fillId="17" borderId="6" xfId="10" applyFont="1" applyFill="1" applyBorder="1" applyAlignment="1" applyProtection="1">
      <alignment horizontal="left"/>
    </xf>
    <xf numFmtId="0" fontId="40" fillId="17" borderId="6" xfId="10" applyFont="1" applyFill="1" applyBorder="1" applyAlignment="1" applyProtection="1">
      <alignment horizontal="center"/>
    </xf>
    <xf numFmtId="0" fontId="62" fillId="17" borderId="6" xfId="10" applyFont="1" applyFill="1" applyBorder="1" applyAlignment="1" applyProtection="1">
      <alignment horizontal="center" wrapText="1"/>
    </xf>
    <xf numFmtId="0" fontId="40" fillId="17" borderId="6" xfId="10" applyFont="1" applyFill="1" applyBorder="1" applyAlignment="1" applyProtection="1">
      <alignment horizontal="center" wrapText="1"/>
    </xf>
    <xf numFmtId="0" fontId="63" fillId="17" borderId="6" xfId="10" applyFont="1" applyFill="1" applyBorder="1" applyAlignment="1" applyProtection="1">
      <alignment horizontal="center" wrapText="1"/>
    </xf>
    <xf numFmtId="2" fontId="99" fillId="17" borderId="6" xfId="10" applyNumberFormat="1" applyFont="1" applyFill="1" applyBorder="1" applyAlignment="1" applyProtection="1">
      <alignment horizontal="center" wrapText="1"/>
    </xf>
    <xf numFmtId="0" fontId="63" fillId="17" borderId="7" xfId="10" applyFont="1" applyFill="1" applyBorder="1" applyAlignment="1" applyProtection="1">
      <alignment horizontal="center" wrapText="1"/>
    </xf>
    <xf numFmtId="0" fontId="63" fillId="0" borderId="0" xfId="10" applyFont="1" applyFill="1" applyBorder="1" applyAlignment="1" applyProtection="1">
      <alignment horizontal="center" wrapText="1"/>
    </xf>
    <xf numFmtId="0" fontId="44" fillId="4" borderId="3" xfId="10" applyFont="1" applyFill="1" applyBorder="1" applyAlignment="1" applyProtection="1">
      <alignment horizontal="left" vertical="center"/>
    </xf>
    <xf numFmtId="0" fontId="44" fillId="4" borderId="4" xfId="10" applyFont="1" applyFill="1" applyBorder="1" applyAlignment="1" applyProtection="1">
      <alignment horizontal="left" vertical="center"/>
    </xf>
    <xf numFmtId="0" fontId="40" fillId="4" borderId="4" xfId="10" applyFont="1" applyFill="1" applyBorder="1" applyAlignment="1" applyProtection="1">
      <alignment vertical="center"/>
    </xf>
    <xf numFmtId="0" fontId="44" fillId="0" borderId="0" xfId="10" applyFont="1" applyFill="1" applyBorder="1" applyAlignment="1" applyProtection="1">
      <alignment vertical="center"/>
    </xf>
    <xf numFmtId="0" fontId="40" fillId="0" borderId="0" xfId="10" applyFont="1" applyAlignment="1" applyProtection="1">
      <alignment vertical="center"/>
      <protection locked="0"/>
    </xf>
    <xf numFmtId="0" fontId="40" fillId="0" borderId="0" xfId="10" applyFont="1" applyAlignment="1" applyProtection="1">
      <alignment horizontal="center" vertical="center"/>
      <protection locked="0"/>
    </xf>
    <xf numFmtId="0" fontId="40" fillId="0" borderId="0" xfId="10" applyFont="1" applyAlignment="1" applyProtection="1">
      <alignment vertical="center"/>
    </xf>
    <xf numFmtId="0" fontId="14" fillId="13" borderId="77" xfId="10" applyFont="1" applyFill="1" applyBorder="1" applyAlignment="1" applyProtection="1">
      <alignment horizontal="center" vertical="center" wrapText="1"/>
    </xf>
    <xf numFmtId="0" fontId="14" fillId="13" borderId="73" xfId="10" applyFont="1" applyFill="1" applyBorder="1" applyAlignment="1" applyProtection="1">
      <alignment horizontal="center"/>
    </xf>
    <xf numFmtId="0" fontId="14" fillId="13" borderId="73" xfId="10" applyFont="1" applyFill="1" applyBorder="1" applyAlignment="1" applyProtection="1">
      <alignment horizontal="center" vertical="center" wrapText="1"/>
    </xf>
    <xf numFmtId="0" fontId="100" fillId="13" borderId="73" xfId="10" applyFont="1" applyFill="1" applyBorder="1" applyAlignment="1" applyProtection="1">
      <alignment horizontal="center" vertical="center" wrapText="1"/>
    </xf>
    <xf numFmtId="0" fontId="100" fillId="13" borderId="66" xfId="10" applyFont="1" applyFill="1" applyBorder="1" applyAlignment="1" applyProtection="1">
      <alignment horizontal="center" vertical="center" wrapText="1"/>
    </xf>
    <xf numFmtId="0" fontId="14" fillId="13" borderId="81" xfId="10" applyFont="1" applyFill="1" applyBorder="1" applyAlignment="1" applyProtection="1">
      <alignment horizontal="center" vertical="center" wrapText="1"/>
    </xf>
    <xf numFmtId="0" fontId="14" fillId="13" borderId="82" xfId="10" applyFont="1" applyFill="1" applyBorder="1" applyAlignment="1" applyProtection="1">
      <alignment horizontal="center" vertical="center" wrapText="1"/>
    </xf>
    <xf numFmtId="0" fontId="14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Protection="1">
      <protection locked="0"/>
    </xf>
    <xf numFmtId="0" fontId="2" fillId="0" borderId="0" xfId="10" applyFont="1" applyAlignment="1" applyProtection="1">
      <alignment horizontal="center"/>
      <protection locked="0"/>
    </xf>
    <xf numFmtId="0" fontId="2" fillId="0" borderId="0" xfId="10" applyFont="1" applyProtection="1"/>
    <xf numFmtId="0" fontId="14" fillId="13" borderId="78" xfId="10" applyFont="1" applyFill="1" applyBorder="1" applyAlignment="1" applyProtection="1">
      <alignment vertical="center" wrapText="1"/>
    </xf>
    <xf numFmtId="0" fontId="14" fillId="13" borderId="88" xfId="10" applyFont="1" applyFill="1" applyBorder="1" applyAlignment="1" applyProtection="1">
      <alignment horizontal="center" vertical="center" wrapText="1"/>
    </xf>
    <xf numFmtId="0" fontId="14" fillId="13" borderId="63" xfId="10" applyFont="1" applyFill="1" applyBorder="1" applyAlignment="1" applyProtection="1">
      <alignment horizontal="center" vertical="center" wrapText="1"/>
    </xf>
    <xf numFmtId="0" fontId="100" fillId="13" borderId="63" xfId="10" applyFont="1" applyFill="1" applyBorder="1" applyAlignment="1" applyProtection="1">
      <alignment horizontal="center" vertical="center" wrapText="1"/>
    </xf>
    <xf numFmtId="0" fontId="100" fillId="13" borderId="64" xfId="10" applyFont="1" applyFill="1" applyBorder="1" applyAlignment="1" applyProtection="1">
      <alignment horizontal="center" vertical="center" wrapText="1"/>
    </xf>
    <xf numFmtId="0" fontId="39" fillId="13" borderId="81" xfId="1" applyFont="1" applyFill="1" applyBorder="1" applyAlignment="1" applyProtection="1">
      <alignment horizontal="center"/>
    </xf>
    <xf numFmtId="0" fontId="39" fillId="13" borderId="82" xfId="1" applyFont="1" applyFill="1" applyBorder="1" applyAlignment="1" applyProtection="1">
      <alignment horizontal="center"/>
    </xf>
    <xf numFmtId="0" fontId="14" fillId="0" borderId="0" xfId="10" applyFont="1" applyFill="1" applyBorder="1" applyAlignment="1" applyProtection="1">
      <alignment horizontal="center" vertical="center"/>
    </xf>
    <xf numFmtId="0" fontId="2" fillId="0" borderId="0" xfId="10" applyFont="1" applyAlignment="1" applyProtection="1">
      <alignment vertical="center" wrapText="1"/>
      <protection locked="0"/>
    </xf>
    <xf numFmtId="0" fontId="2" fillId="0" borderId="0" xfId="10" applyFont="1" applyAlignment="1" applyProtection="1">
      <alignment horizontal="center" vertical="center" wrapText="1"/>
      <protection locked="0"/>
    </xf>
    <xf numFmtId="0" fontId="2" fillId="0" borderId="0" xfId="10" applyFont="1" applyAlignment="1" applyProtection="1">
      <alignment vertical="center" wrapText="1"/>
    </xf>
    <xf numFmtId="0" fontId="101" fillId="0" borderId="58" xfId="10" applyFont="1" applyBorder="1" applyProtection="1"/>
    <xf numFmtId="0" fontId="102" fillId="0" borderId="58" xfId="10" applyFont="1" applyBorder="1" applyProtection="1"/>
    <xf numFmtId="0" fontId="2" fillId="0" borderId="52" xfId="10" applyFont="1" applyBorder="1" applyAlignment="1" applyProtection="1"/>
    <xf numFmtId="0" fontId="2" fillId="0" borderId="52" xfId="10" applyFont="1" applyFill="1" applyBorder="1" applyAlignment="1" applyProtection="1"/>
    <xf numFmtId="0" fontId="2" fillId="0" borderId="59" xfId="10" applyFont="1" applyFill="1" applyBorder="1" applyAlignment="1" applyProtection="1"/>
    <xf numFmtId="188" fontId="56" fillId="0" borderId="0" xfId="10" applyNumberFormat="1" applyFont="1" applyFill="1" applyBorder="1" applyAlignment="1" applyProtection="1"/>
    <xf numFmtId="0" fontId="2" fillId="0" borderId="0" xfId="10" applyFont="1" applyAlignment="1" applyProtection="1">
      <protection locked="0"/>
    </xf>
    <xf numFmtId="0" fontId="2" fillId="0" borderId="0" xfId="10" applyFont="1" applyAlignment="1" applyProtection="1"/>
    <xf numFmtId="0" fontId="90" fillId="18" borderId="75" xfId="10" applyFont="1" applyFill="1" applyBorder="1" applyAlignment="1" applyProtection="1">
      <alignment vertical="center"/>
    </xf>
    <xf numFmtId="0" fontId="2" fillId="0" borderId="89" xfId="10" applyFont="1" applyBorder="1" applyAlignment="1" applyProtection="1">
      <alignment horizontal="left" vertical="center"/>
      <protection locked="0"/>
    </xf>
    <xf numFmtId="3" fontId="2" fillId="0" borderId="61" xfId="10" applyNumberFormat="1" applyFont="1" applyBorder="1" applyAlignment="1" applyProtection="1">
      <alignment horizontal="center" vertical="center"/>
      <protection locked="0"/>
    </xf>
    <xf numFmtId="0" fontId="2" fillId="0" borderId="61" xfId="10" applyFont="1" applyBorder="1" applyAlignment="1" applyProtection="1">
      <alignment horizontal="center" vertical="center"/>
      <protection locked="0"/>
    </xf>
    <xf numFmtId="2" fontId="58" fillId="18" borderId="61" xfId="10" applyNumberFormat="1" applyFont="1" applyFill="1" applyBorder="1" applyAlignment="1" applyProtection="1">
      <alignment horizontal="center" vertical="center"/>
    </xf>
    <xf numFmtId="2" fontId="58" fillId="18" borderId="62" xfId="10" applyNumberFormat="1" applyFont="1" applyFill="1" applyBorder="1" applyAlignment="1" applyProtection="1">
      <alignment horizontal="center" vertical="center"/>
    </xf>
    <xf numFmtId="2" fontId="2" fillId="0" borderId="78" xfId="10" applyNumberFormat="1" applyFont="1" applyFill="1" applyBorder="1" applyAlignment="1" applyProtection="1">
      <alignment horizontal="center" vertical="center"/>
      <protection locked="0"/>
    </xf>
    <xf numFmtId="188" fontId="2" fillId="0" borderId="89" xfId="1" applyNumberFormat="1" applyFont="1" applyFill="1" applyBorder="1" applyAlignment="1" applyProtection="1">
      <alignment horizontal="left"/>
      <protection locked="0"/>
    </xf>
    <xf numFmtId="188" fontId="2" fillId="0" borderId="52" xfId="1" applyNumberFormat="1" applyFont="1" applyFill="1" applyBorder="1" applyAlignment="1" applyProtection="1">
      <alignment horizontal="left"/>
      <protection locked="0"/>
    </xf>
    <xf numFmtId="188" fontId="2" fillId="0" borderId="59" xfId="1" applyNumberFormat="1" applyFont="1" applyFill="1" applyBorder="1" applyAlignment="1" applyProtection="1">
      <alignment horizontal="left"/>
      <protection locked="0"/>
    </xf>
    <xf numFmtId="2" fontId="2" fillId="0" borderId="0" xfId="10" applyNumberFormat="1" applyFont="1" applyFill="1" applyBorder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locked="0"/>
    </xf>
    <xf numFmtId="0" fontId="2" fillId="0" borderId="0" xfId="10" applyFont="1" applyAlignment="1" applyProtection="1">
      <alignment vertical="center"/>
      <protection locked="0"/>
    </xf>
    <xf numFmtId="0" fontId="2" fillId="0" borderId="0" xfId="10" applyFont="1" applyAlignment="1" applyProtection="1">
      <alignment vertical="center"/>
    </xf>
    <xf numFmtId="2" fontId="2" fillId="0" borderId="75" xfId="10" applyNumberFormat="1" applyFont="1" applyFill="1" applyBorder="1" applyAlignment="1" applyProtection="1">
      <alignment horizontal="center" vertical="center"/>
      <protection locked="0"/>
    </xf>
    <xf numFmtId="0" fontId="2" fillId="15" borderId="58" xfId="10" applyFont="1" applyFill="1" applyBorder="1" applyAlignment="1" applyProtection="1"/>
    <xf numFmtId="0" fontId="2" fillId="12" borderId="52" xfId="10" applyFont="1" applyFill="1" applyBorder="1" applyProtection="1"/>
    <xf numFmtId="0" fontId="2" fillId="12" borderId="52" xfId="10" applyFont="1" applyFill="1" applyBorder="1" applyAlignment="1" applyProtection="1"/>
    <xf numFmtId="0" fontId="14" fillId="12" borderId="60" xfId="10" applyFont="1" applyFill="1" applyBorder="1" applyAlignment="1" applyProtection="1">
      <alignment horizontal="right"/>
    </xf>
    <xf numFmtId="0" fontId="2" fillId="12" borderId="61" xfId="10" applyFont="1" applyFill="1" applyBorder="1" applyAlignment="1" applyProtection="1"/>
    <xf numFmtId="2" fontId="28" fillId="12" borderId="61" xfId="10" applyNumberFormat="1" applyFont="1" applyFill="1" applyBorder="1" applyAlignment="1" applyProtection="1">
      <alignment horizontal="right"/>
    </xf>
    <xf numFmtId="2" fontId="28" fillId="12" borderId="62" xfId="10" applyNumberFormat="1" applyFont="1" applyFill="1" applyBorder="1" applyAlignment="1" applyProtection="1">
      <alignment horizontal="right"/>
    </xf>
    <xf numFmtId="2" fontId="28" fillId="12" borderId="75" xfId="10" applyNumberFormat="1" applyFont="1" applyFill="1" applyBorder="1" applyAlignment="1" applyProtection="1">
      <alignment horizontal="right"/>
    </xf>
    <xf numFmtId="2" fontId="28" fillId="12" borderId="89" xfId="10" applyNumberFormat="1" applyFont="1" applyFill="1" applyBorder="1" applyAlignment="1" applyProtection="1">
      <alignment horizontal="right"/>
    </xf>
    <xf numFmtId="2" fontId="103" fillId="12" borderId="89" xfId="10" applyNumberFormat="1" applyFont="1" applyFill="1" applyBorder="1" applyAlignment="1" applyProtection="1">
      <alignment horizontal="right"/>
    </xf>
    <xf numFmtId="2" fontId="28" fillId="12" borderId="52" xfId="10" applyNumberFormat="1" applyFont="1" applyFill="1" applyBorder="1" applyAlignment="1" applyProtection="1">
      <alignment horizontal="right"/>
    </xf>
    <xf numFmtId="2" fontId="28" fillId="12" borderId="59" xfId="10" applyNumberFormat="1" applyFont="1" applyFill="1" applyBorder="1" applyAlignment="1" applyProtection="1">
      <alignment horizontal="right"/>
    </xf>
    <xf numFmtId="1" fontId="103" fillId="0" borderId="0" xfId="10" applyNumberFormat="1" applyFont="1" applyFill="1" applyBorder="1" applyAlignment="1" applyProtection="1">
      <alignment horizontal="right"/>
    </xf>
    <xf numFmtId="0" fontId="39" fillId="13" borderId="78" xfId="1" applyFont="1" applyFill="1" applyBorder="1" applyAlignment="1" applyProtection="1">
      <alignment horizontal="center"/>
    </xf>
    <xf numFmtId="0" fontId="39" fillId="13" borderId="63" xfId="1" applyFont="1" applyFill="1" applyBorder="1" applyAlignment="1" applyProtection="1">
      <alignment horizontal="center"/>
    </xf>
    <xf numFmtId="0" fontId="101" fillId="0" borderId="58" xfId="10" applyFont="1" applyFill="1" applyBorder="1" applyProtection="1"/>
    <xf numFmtId="0" fontId="102" fillId="0" borderId="58" xfId="10" applyFont="1" applyFill="1" applyBorder="1" applyProtection="1"/>
    <xf numFmtId="0" fontId="2" fillId="0" borderId="52" xfId="10" applyFont="1" applyBorder="1" applyAlignment="1" applyProtection="1">
      <alignment horizontal="center"/>
    </xf>
    <xf numFmtId="0" fontId="58" fillId="0" borderId="52" xfId="10" applyFont="1" applyFill="1" applyBorder="1" applyAlignment="1" applyProtection="1">
      <alignment horizontal="center"/>
    </xf>
    <xf numFmtId="0" fontId="58" fillId="0" borderId="59" xfId="10" applyFont="1" applyFill="1" applyBorder="1" applyAlignment="1" applyProtection="1">
      <alignment horizontal="center"/>
    </xf>
    <xf numFmtId="188" fontId="56" fillId="0" borderId="0" xfId="10" applyNumberFormat="1" applyFont="1" applyFill="1" applyBorder="1" applyAlignment="1" applyProtection="1">
      <alignment horizontal="center"/>
    </xf>
    <xf numFmtId="2" fontId="2" fillId="0" borderId="67" xfId="10" applyNumberFormat="1" applyFont="1" applyFill="1" applyBorder="1" applyAlignment="1" applyProtection="1">
      <alignment horizontal="center" vertical="center"/>
      <protection locked="0"/>
    </xf>
    <xf numFmtId="49" fontId="2" fillId="0" borderId="0" xfId="10" applyNumberFormat="1" applyFont="1" applyFill="1" applyBorder="1" applyAlignment="1" applyProtection="1">
      <alignment horizontal="left" vertical="center"/>
    </xf>
    <xf numFmtId="2" fontId="2" fillId="0" borderId="58" xfId="10" applyNumberFormat="1" applyFont="1" applyFill="1" applyBorder="1" applyAlignment="1" applyProtection="1">
      <alignment horizontal="center" vertical="center"/>
      <protection locked="0"/>
    </xf>
    <xf numFmtId="0" fontId="2" fillId="15" borderId="9" xfId="10" applyFont="1" applyFill="1" applyBorder="1" applyAlignment="1" applyProtection="1"/>
    <xf numFmtId="0" fontId="2" fillId="12" borderId="1" xfId="10" applyFont="1" applyFill="1" applyBorder="1" applyProtection="1"/>
    <xf numFmtId="0" fontId="2" fillId="12" borderId="1" xfId="10" applyFont="1" applyFill="1" applyBorder="1" applyAlignment="1" applyProtection="1">
      <alignment horizontal="center"/>
    </xf>
    <xf numFmtId="0" fontId="14" fillId="12" borderId="71" xfId="10" applyFont="1" applyFill="1" applyBorder="1" applyAlignment="1" applyProtection="1">
      <alignment horizontal="right"/>
    </xf>
    <xf numFmtId="0" fontId="2" fillId="12" borderId="83" xfId="10" applyFont="1" applyFill="1" applyBorder="1" applyAlignment="1" applyProtection="1"/>
    <xf numFmtId="2" fontId="28" fillId="12" borderId="97" xfId="10" applyNumberFormat="1" applyFont="1" applyFill="1" applyBorder="1" applyAlignment="1" applyProtection="1"/>
    <xf numFmtId="2" fontId="28" fillId="12" borderId="98" xfId="10" applyNumberFormat="1" applyFont="1" applyFill="1" applyBorder="1" applyAlignment="1" applyProtection="1"/>
    <xf numFmtId="2" fontId="28" fillId="12" borderId="9" xfId="10" applyNumberFormat="1" applyFont="1" applyFill="1" applyBorder="1" applyAlignment="1" applyProtection="1"/>
    <xf numFmtId="2" fontId="28" fillId="12" borderId="69" xfId="10" applyNumberFormat="1" applyFont="1" applyFill="1" applyBorder="1" applyAlignment="1" applyProtection="1"/>
    <xf numFmtId="2" fontId="103" fillId="12" borderId="69" xfId="10" applyNumberFormat="1" applyFont="1" applyFill="1" applyBorder="1" applyAlignment="1" applyProtection="1"/>
    <xf numFmtId="2" fontId="28" fillId="12" borderId="107" xfId="10" applyNumberFormat="1" applyFont="1" applyFill="1" applyBorder="1" applyAlignment="1" applyProtection="1"/>
    <xf numFmtId="1" fontId="103" fillId="0" borderId="0" xfId="10" applyNumberFormat="1" applyFont="1" applyFill="1" applyBorder="1" applyAlignment="1" applyProtection="1"/>
    <xf numFmtId="0" fontId="14" fillId="13" borderId="3" xfId="10" applyFont="1" applyFill="1" applyBorder="1" applyAlignment="1" applyProtection="1">
      <alignment horizontal="center" vertical="center" wrapText="1"/>
    </xf>
    <xf numFmtId="0" fontId="51" fillId="13" borderId="95" xfId="10" applyFont="1" applyFill="1" applyBorder="1" applyAlignment="1" applyProtection="1">
      <alignment horizontal="center" vertical="center" wrapText="1"/>
    </xf>
    <xf numFmtId="0" fontId="14" fillId="13" borderId="92" xfId="10" applyFont="1" applyFill="1" applyBorder="1" applyAlignment="1" applyProtection="1">
      <alignment horizontal="center" vertical="center" wrapText="1"/>
    </xf>
    <xf numFmtId="0" fontId="14" fillId="13" borderId="95" xfId="10" applyFont="1" applyFill="1" applyBorder="1" applyAlignment="1" applyProtection="1">
      <alignment horizontal="center" vertical="center" wrapText="1"/>
    </xf>
    <xf numFmtId="0" fontId="14" fillId="13" borderId="12" xfId="10" applyFont="1" applyFill="1" applyBorder="1" applyAlignment="1" applyProtection="1">
      <alignment vertical="center" wrapText="1"/>
    </xf>
    <xf numFmtId="0" fontId="14" fillId="13" borderId="51" xfId="10" applyFont="1" applyFill="1" applyBorder="1" applyAlignment="1" applyProtection="1">
      <alignment horizontal="center" vertical="center" wrapText="1"/>
    </xf>
    <xf numFmtId="0" fontId="14" fillId="13" borderId="91" xfId="10" applyFont="1" applyFill="1" applyBorder="1" applyAlignment="1" applyProtection="1">
      <alignment horizontal="center" vertical="center" wrapText="1"/>
    </xf>
    <xf numFmtId="0" fontId="51" fillId="13" borderId="63" xfId="10" applyFont="1" applyFill="1" applyBorder="1" applyAlignment="1" applyProtection="1">
      <alignment horizontal="center" vertical="center" wrapText="1"/>
    </xf>
    <xf numFmtId="0" fontId="14" fillId="0" borderId="52" xfId="2" applyFont="1" applyFill="1" applyBorder="1" applyAlignment="1" applyProtection="1">
      <alignment horizontal="center"/>
    </xf>
    <xf numFmtId="0" fontId="87" fillId="18" borderId="75" xfId="10" applyFont="1" applyFill="1" applyBorder="1" applyAlignment="1" applyProtection="1">
      <alignment vertical="center"/>
    </xf>
    <xf numFmtId="0" fontId="56" fillId="18" borderId="61" xfId="10" applyFont="1" applyFill="1" applyBorder="1" applyAlignment="1" applyProtection="1">
      <alignment horizontal="center" vertical="center"/>
    </xf>
    <xf numFmtId="0" fontId="28" fillId="12" borderId="1" xfId="10" applyFont="1" applyFill="1" applyBorder="1" applyAlignment="1" applyProtection="1">
      <alignment horizontal="right"/>
    </xf>
    <xf numFmtId="0" fontId="58" fillId="12" borderId="70" xfId="10" applyFont="1" applyFill="1" applyBorder="1" applyAlignment="1" applyProtection="1">
      <alignment horizontal="center"/>
    </xf>
    <xf numFmtId="2" fontId="28" fillId="12" borderId="71" xfId="10" applyNumberFormat="1" applyFont="1" applyFill="1" applyBorder="1" applyAlignment="1" applyProtection="1">
      <alignment horizontal="right"/>
    </xf>
    <xf numFmtId="2" fontId="28" fillId="12" borderId="72" xfId="10" applyNumberFormat="1" applyFont="1" applyFill="1" applyBorder="1" applyAlignment="1" applyProtection="1">
      <alignment horizontal="right"/>
    </xf>
    <xf numFmtId="2" fontId="28" fillId="12" borderId="68" xfId="10" applyNumberFormat="1" applyFont="1" applyFill="1" applyBorder="1" applyAlignment="1" applyProtection="1">
      <alignment horizontal="right"/>
    </xf>
    <xf numFmtId="2" fontId="28" fillId="12" borderId="69" xfId="10" applyNumberFormat="1" applyFont="1" applyFill="1" applyBorder="1" applyAlignment="1" applyProtection="1">
      <alignment horizontal="right"/>
    </xf>
    <xf numFmtId="2" fontId="103" fillId="12" borderId="69" xfId="10" applyNumberFormat="1" applyFont="1" applyFill="1" applyBorder="1" applyAlignment="1" applyProtection="1">
      <alignment horizontal="right"/>
    </xf>
    <xf numFmtId="2" fontId="28" fillId="12" borderId="107" xfId="10" applyNumberFormat="1" applyFont="1" applyFill="1" applyBorder="1" applyAlignment="1" applyProtection="1">
      <alignment horizontal="right"/>
    </xf>
    <xf numFmtId="0" fontId="2" fillId="13" borderId="5" xfId="10" applyFont="1" applyFill="1" applyBorder="1" applyProtection="1"/>
    <xf numFmtId="0" fontId="40" fillId="13" borderId="6" xfId="10" applyFont="1" applyFill="1" applyBorder="1" applyAlignment="1" applyProtection="1">
      <alignment vertical="center"/>
    </xf>
    <xf numFmtId="0" fontId="44" fillId="13" borderId="108" xfId="10" applyFont="1" applyFill="1" applyBorder="1" applyAlignment="1" applyProtection="1">
      <alignment horizontal="right" vertical="center"/>
    </xf>
    <xf numFmtId="2" fontId="61" fillId="13" borderId="109" xfId="10" applyNumberFormat="1" applyFont="1" applyFill="1" applyBorder="1" applyAlignment="1" applyProtection="1">
      <alignment vertical="center"/>
    </xf>
    <xf numFmtId="2" fontId="61" fillId="13" borderId="110" xfId="10" applyNumberFormat="1" applyFont="1" applyFill="1" applyBorder="1" applyAlignment="1" applyProtection="1">
      <alignment vertical="center"/>
    </xf>
    <xf numFmtId="2" fontId="61" fillId="13" borderId="5" xfId="10" applyNumberFormat="1" applyFont="1" applyFill="1" applyBorder="1" applyAlignment="1" applyProtection="1">
      <alignment vertical="center"/>
    </xf>
    <xf numFmtId="2" fontId="61" fillId="13" borderId="6" xfId="10" applyNumberFormat="1" applyFont="1" applyFill="1" applyBorder="1" applyAlignment="1" applyProtection="1">
      <alignment vertical="center"/>
    </xf>
    <xf numFmtId="2" fontId="61" fillId="13" borderId="7" xfId="10" applyNumberFormat="1" applyFont="1" applyFill="1" applyBorder="1" applyAlignment="1" applyProtection="1">
      <alignment vertical="center"/>
    </xf>
    <xf numFmtId="2" fontId="61" fillId="0" borderId="0" xfId="10" applyNumberFormat="1" applyFont="1" applyFill="1" applyBorder="1" applyAlignment="1" applyProtection="1">
      <alignment vertical="center"/>
    </xf>
    <xf numFmtId="0" fontId="2" fillId="0" borderId="3" xfId="10" applyFont="1" applyFill="1" applyBorder="1" applyProtection="1"/>
    <xf numFmtId="0" fontId="40" fillId="0" borderId="4" xfId="10" applyFont="1" applyFill="1" applyBorder="1" applyAlignment="1" applyProtection="1">
      <alignment vertical="center"/>
    </xf>
    <xf numFmtId="0" fontId="61" fillId="0" borderId="4" xfId="10" applyFont="1" applyFill="1" applyBorder="1" applyAlignment="1" applyProtection="1">
      <alignment horizontal="right" vertical="center"/>
    </xf>
    <xf numFmtId="2" fontId="61" fillId="0" borderId="4" xfId="10" applyNumberFormat="1" applyFont="1" applyFill="1" applyBorder="1" applyAlignment="1" applyProtection="1">
      <alignment vertical="center"/>
    </xf>
    <xf numFmtId="2" fontId="61" fillId="0" borderId="31" xfId="10" applyNumberFormat="1" applyFont="1" applyFill="1" applyBorder="1" applyAlignment="1" applyProtection="1">
      <alignment vertical="center"/>
    </xf>
    <xf numFmtId="0" fontId="2" fillId="0" borderId="0" xfId="10" applyFont="1" applyFill="1" applyAlignment="1" applyProtection="1">
      <protection locked="0"/>
    </xf>
    <xf numFmtId="0" fontId="2" fillId="0" borderId="0" xfId="10" applyFont="1" applyFill="1" applyAlignment="1" applyProtection="1">
      <alignment horizontal="center"/>
      <protection locked="0"/>
    </xf>
    <xf numFmtId="0" fontId="2" fillId="0" borderId="0" xfId="10" applyFont="1" applyFill="1" applyAlignment="1" applyProtection="1"/>
    <xf numFmtId="0" fontId="40" fillId="4" borderId="4" xfId="10" applyFont="1" applyFill="1" applyBorder="1" applyAlignment="1" applyProtection="1">
      <alignment horizontal="center" vertical="center"/>
    </xf>
    <xf numFmtId="0" fontId="40" fillId="4" borderId="4" xfId="10" applyFont="1" applyFill="1" applyBorder="1" applyAlignment="1" applyProtection="1">
      <alignment horizontal="center" vertical="center" wrapText="1"/>
    </xf>
    <xf numFmtId="0" fontId="44" fillId="4" borderId="4" xfId="10" applyFont="1" applyFill="1" applyBorder="1" applyAlignment="1" applyProtection="1">
      <alignment horizontal="center" vertical="center" wrapText="1"/>
    </xf>
    <xf numFmtId="0" fontId="44" fillId="4" borderId="31" xfId="10" applyFont="1" applyFill="1" applyBorder="1" applyAlignment="1" applyProtection="1">
      <alignment horizontal="center" vertical="center" wrapText="1"/>
    </xf>
    <xf numFmtId="0" fontId="44" fillId="0" borderId="0" xfId="10" applyFont="1" applyFill="1" applyBorder="1" applyAlignment="1" applyProtection="1">
      <alignment horizontal="center" vertical="center"/>
    </xf>
    <xf numFmtId="0" fontId="14" fillId="13" borderId="73" xfId="10" applyFont="1" applyFill="1" applyBorder="1" applyAlignment="1" applyProtection="1">
      <alignment horizontal="center" vertical="top" wrapText="1"/>
    </xf>
    <xf numFmtId="0" fontId="14" fillId="13" borderId="81" xfId="10" applyFont="1" applyFill="1" applyBorder="1" applyAlignment="1" applyProtection="1">
      <alignment vertical="center" wrapText="1"/>
    </xf>
    <xf numFmtId="0" fontId="14" fillId="13" borderId="87" xfId="10" applyFont="1" applyFill="1" applyBorder="1" applyAlignment="1" applyProtection="1">
      <alignment vertical="top" wrapText="1"/>
    </xf>
    <xf numFmtId="0" fontId="14" fillId="13" borderId="0" xfId="10" applyFont="1" applyFill="1" applyBorder="1" applyAlignment="1" applyProtection="1">
      <alignment vertical="top" wrapText="1"/>
    </xf>
    <xf numFmtId="0" fontId="14" fillId="13" borderId="82" xfId="10" applyFont="1" applyFill="1" applyBorder="1" applyAlignment="1" applyProtection="1">
      <alignment horizontal="center" vertical="top" wrapText="1"/>
    </xf>
    <xf numFmtId="0" fontId="100" fillId="13" borderId="82" xfId="10" applyFont="1" applyFill="1" applyBorder="1" applyAlignment="1" applyProtection="1">
      <alignment horizontal="center" vertical="center" wrapText="1"/>
    </xf>
    <xf numFmtId="0" fontId="100" fillId="13" borderId="76" xfId="10" applyFont="1" applyFill="1" applyBorder="1" applyAlignment="1" applyProtection="1">
      <alignment horizontal="center" vertical="center" wrapText="1"/>
    </xf>
    <xf numFmtId="0" fontId="14" fillId="13" borderId="88" xfId="10" applyFont="1" applyFill="1" applyBorder="1" applyAlignment="1" applyProtection="1">
      <alignment vertical="top" wrapText="1"/>
    </xf>
    <xf numFmtId="0" fontId="14" fillId="13" borderId="51" xfId="10" applyFont="1" applyFill="1" applyBorder="1" applyAlignment="1" applyProtection="1">
      <alignment vertical="top" wrapText="1"/>
    </xf>
    <xf numFmtId="0" fontId="14" fillId="13" borderId="63" xfId="10" applyFont="1" applyFill="1" applyBorder="1" applyAlignment="1" applyProtection="1">
      <alignment vertical="top" wrapText="1"/>
    </xf>
    <xf numFmtId="0" fontId="28" fillId="13" borderId="63" xfId="10" applyFont="1" applyFill="1" applyBorder="1" applyAlignment="1" applyProtection="1">
      <alignment horizontal="center" vertical="center" wrapText="1"/>
    </xf>
    <xf numFmtId="0" fontId="28" fillId="13" borderId="64" xfId="10" applyFont="1" applyFill="1" applyBorder="1" applyAlignment="1" applyProtection="1">
      <alignment horizontal="center" vertical="center" wrapText="1"/>
    </xf>
    <xf numFmtId="0" fontId="58" fillId="18" borderId="61" xfId="10" applyFont="1" applyFill="1" applyBorder="1" applyAlignment="1" applyProtection="1">
      <alignment horizontal="center" vertical="center"/>
    </xf>
    <xf numFmtId="2" fontId="2" fillId="0" borderId="114" xfId="10" applyNumberFormat="1" applyFont="1" applyFill="1" applyBorder="1" applyAlignment="1" applyProtection="1">
      <alignment horizontal="center" vertical="center"/>
      <protection locked="0"/>
    </xf>
    <xf numFmtId="2" fontId="2" fillId="0" borderId="0" xfId="10" applyNumberFormat="1" applyFont="1" applyFill="1" applyBorder="1" applyAlignment="1" applyProtection="1">
      <alignment horizontal="left" vertical="center" wrapText="1"/>
    </xf>
    <xf numFmtId="2" fontId="2" fillId="0" borderId="119" xfId="10" applyNumberFormat="1" applyFont="1" applyFill="1" applyBorder="1" applyAlignment="1" applyProtection="1">
      <alignment horizontal="center" vertical="center"/>
      <protection locked="0"/>
    </xf>
    <xf numFmtId="0" fontId="2" fillId="15" borderId="79" xfId="10" applyFont="1" applyFill="1" applyBorder="1" applyAlignment="1" applyProtection="1"/>
    <xf numFmtId="0" fontId="2" fillId="12" borderId="125" xfId="10" applyFont="1" applyFill="1" applyBorder="1" applyProtection="1"/>
    <xf numFmtId="0" fontId="28" fillId="12" borderId="69" xfId="10" applyFont="1" applyFill="1" applyBorder="1" applyAlignment="1" applyProtection="1">
      <alignment horizontal="right"/>
    </xf>
    <xf numFmtId="0" fontId="14" fillId="12" borderId="70" xfId="10" applyFont="1" applyFill="1" applyBorder="1" applyAlignment="1" applyProtection="1">
      <alignment horizontal="right"/>
    </xf>
    <xf numFmtId="0" fontId="58" fillId="12" borderId="71" xfId="10" applyFont="1" applyFill="1" applyBorder="1" applyAlignment="1" applyProtection="1">
      <alignment horizontal="center"/>
    </xf>
    <xf numFmtId="2" fontId="28" fillId="12" borderId="99" xfId="10" applyNumberFormat="1" applyFont="1" applyFill="1" applyBorder="1" applyAlignment="1" applyProtection="1">
      <alignment horizontal="right"/>
    </xf>
    <xf numFmtId="2" fontId="103" fillId="12" borderId="125" xfId="10" applyNumberFormat="1" applyFont="1" applyFill="1" applyBorder="1" applyAlignment="1" applyProtection="1">
      <alignment horizontal="right"/>
    </xf>
    <xf numFmtId="2" fontId="28" fillId="12" borderId="70" xfId="10" applyNumberFormat="1" applyFont="1" applyFill="1" applyBorder="1" applyAlignment="1" applyProtection="1">
      <alignment horizontal="right"/>
    </xf>
    <xf numFmtId="0" fontId="2" fillId="0" borderId="0" xfId="10" applyFont="1" applyFill="1" applyBorder="1" applyAlignment="1" applyProtection="1"/>
    <xf numFmtId="0" fontId="2" fillId="0" borderId="0" xfId="10" applyFont="1" applyFill="1" applyBorder="1" applyProtection="1"/>
    <xf numFmtId="0" fontId="28" fillId="0" borderId="0" xfId="10" applyFont="1" applyFill="1" applyBorder="1" applyAlignment="1" applyProtection="1">
      <alignment horizontal="right"/>
    </xf>
    <xf numFmtId="0" fontId="14" fillId="0" borderId="0" xfId="10" applyFont="1" applyFill="1" applyBorder="1" applyAlignment="1" applyProtection="1">
      <alignment horizontal="right"/>
    </xf>
    <xf numFmtId="0" fontId="58" fillId="0" borderId="0" xfId="10" applyFont="1" applyFill="1" applyBorder="1" applyAlignment="1" applyProtection="1">
      <alignment horizontal="center"/>
    </xf>
    <xf numFmtId="2" fontId="28" fillId="0" borderId="0" xfId="10" applyNumberFormat="1" applyFont="1" applyFill="1" applyBorder="1" applyAlignment="1" applyProtection="1">
      <alignment horizontal="right"/>
    </xf>
    <xf numFmtId="2" fontId="104" fillId="0" borderId="0" xfId="10" applyNumberFormat="1" applyFont="1" applyFill="1" applyBorder="1" applyAlignment="1" applyProtection="1">
      <alignment horizontal="right"/>
    </xf>
    <xf numFmtId="2" fontId="28" fillId="0" borderId="0" xfId="10" applyNumberFormat="1" applyFont="1" applyFill="1" applyBorder="1" applyProtection="1"/>
    <xf numFmtId="0" fontId="46" fillId="17" borderId="5" xfId="10" applyFont="1" applyFill="1" applyBorder="1" applyAlignment="1" applyProtection="1">
      <alignment horizontal="left" vertical="center"/>
    </xf>
    <xf numFmtId="0" fontId="46" fillId="17" borderId="6" xfId="10" applyFont="1" applyFill="1" applyBorder="1" applyAlignment="1" applyProtection="1">
      <alignment horizontal="left" vertical="center"/>
    </xf>
    <xf numFmtId="0" fontId="40" fillId="17" borderId="6" xfId="10" applyFont="1" applyFill="1" applyBorder="1" applyAlignment="1" applyProtection="1">
      <alignment horizontal="center" vertical="center"/>
    </xf>
    <xf numFmtId="0" fontId="62" fillId="17" borderId="6" xfId="10" applyFont="1" applyFill="1" applyBorder="1" applyAlignment="1" applyProtection="1">
      <alignment horizontal="center" vertical="center" wrapText="1"/>
    </xf>
    <xf numFmtId="0" fontId="40" fillId="17" borderId="6" xfId="10" applyFont="1" applyFill="1" applyBorder="1" applyAlignment="1" applyProtection="1">
      <alignment horizontal="center" vertical="center" wrapText="1"/>
    </xf>
    <xf numFmtId="0" fontId="63" fillId="17" borderId="6" xfId="10" applyFont="1" applyFill="1" applyBorder="1" applyAlignment="1" applyProtection="1">
      <alignment horizontal="center" vertical="center" wrapText="1"/>
    </xf>
    <xf numFmtId="0" fontId="99" fillId="17" borderId="6" xfId="10" applyFont="1" applyFill="1" applyBorder="1" applyAlignment="1" applyProtection="1">
      <alignment horizontal="center" vertical="center" wrapText="1"/>
    </xf>
    <xf numFmtId="0" fontId="63" fillId="17" borderId="7" xfId="10" applyFont="1" applyFill="1" applyBorder="1" applyAlignment="1" applyProtection="1">
      <alignment horizontal="center" vertical="center" wrapText="1"/>
    </xf>
    <xf numFmtId="0" fontId="62" fillId="4" borderId="4" xfId="10" applyFont="1" applyFill="1" applyBorder="1" applyAlignment="1" applyProtection="1">
      <alignment horizontal="center" vertical="center" wrapText="1"/>
    </xf>
    <xf numFmtId="0" fontId="63" fillId="4" borderId="4" xfId="10" applyFont="1" applyFill="1" applyBorder="1" applyAlignment="1" applyProtection="1">
      <alignment horizontal="center" vertical="center" wrapText="1"/>
    </xf>
    <xf numFmtId="0" fontId="63" fillId="4" borderId="31" xfId="10" applyFont="1" applyFill="1" applyBorder="1" applyAlignment="1" applyProtection="1">
      <alignment horizontal="center" vertical="center" wrapText="1"/>
    </xf>
    <xf numFmtId="0" fontId="14" fillId="13" borderId="77" xfId="10" applyFont="1" applyFill="1" applyBorder="1" applyAlignment="1" applyProtection="1">
      <alignment horizontal="center"/>
    </xf>
    <xf numFmtId="0" fontId="14" fillId="13" borderId="86" xfId="10" applyFont="1" applyFill="1" applyBorder="1" applyAlignment="1" applyProtection="1">
      <alignment horizontal="center"/>
    </xf>
    <xf numFmtId="0" fontId="100" fillId="13" borderId="73" xfId="10" applyFont="1" applyFill="1" applyBorder="1" applyAlignment="1" applyProtection="1">
      <alignment horizontal="center"/>
    </xf>
    <xf numFmtId="0" fontId="14" fillId="13" borderId="81" xfId="10" applyFont="1" applyFill="1" applyBorder="1" applyAlignment="1" applyProtection="1">
      <alignment horizontal="center"/>
    </xf>
    <xf numFmtId="0" fontId="14" fillId="13" borderId="87" xfId="10" applyFont="1" applyFill="1" applyBorder="1" applyAlignment="1" applyProtection="1"/>
    <xf numFmtId="0" fontId="79" fillId="13" borderId="0" xfId="10" applyFont="1" applyFill="1" applyBorder="1" applyAlignment="1" applyProtection="1">
      <alignment vertical="center"/>
    </xf>
    <xf numFmtId="0" fontId="79" fillId="13" borderId="90" xfId="10" applyFont="1" applyFill="1" applyBorder="1" applyAlignment="1" applyProtection="1">
      <alignment vertical="center"/>
    </xf>
    <xf numFmtId="0" fontId="14" fillId="13" borderId="90" xfId="10" applyFont="1" applyFill="1" applyBorder="1" applyAlignment="1" applyProtection="1">
      <alignment horizontal="center"/>
    </xf>
    <xf numFmtId="0" fontId="50" fillId="13" borderId="66" xfId="10" applyFont="1" applyFill="1" applyBorder="1" applyAlignment="1" applyProtection="1"/>
    <xf numFmtId="0" fontId="2" fillId="0" borderId="0" xfId="10" applyFont="1" applyBorder="1" applyAlignment="1" applyProtection="1">
      <protection locked="0"/>
    </xf>
    <xf numFmtId="0" fontId="2" fillId="0" borderId="0" xfId="10" applyFont="1" applyBorder="1" applyAlignment="1" applyProtection="1">
      <alignment horizontal="center"/>
      <protection locked="0"/>
    </xf>
    <xf numFmtId="0" fontId="2" fillId="0" borderId="0" xfId="10" applyFont="1" applyBorder="1" applyAlignment="1" applyProtection="1"/>
    <xf numFmtId="0" fontId="14" fillId="13" borderId="51" xfId="10" applyFont="1" applyFill="1" applyBorder="1" applyAlignment="1" applyProtection="1">
      <alignment horizontal="center" vertical="center"/>
    </xf>
    <xf numFmtId="0" fontId="39" fillId="13" borderId="91" xfId="10" applyFont="1" applyFill="1" applyBorder="1" applyAlignment="1" applyProtection="1">
      <alignment horizontal="center" vertical="center"/>
    </xf>
    <xf numFmtId="0" fontId="39" fillId="13" borderId="91" xfId="10" applyFont="1" applyFill="1" applyBorder="1" applyAlignment="1" applyProtection="1">
      <alignment horizontal="center" vertical="center" wrapText="1"/>
    </xf>
    <xf numFmtId="0" fontId="79" fillId="13" borderId="63" xfId="10" applyFont="1" applyFill="1" applyBorder="1" applyAlignment="1" applyProtection="1">
      <alignment horizontal="center" vertical="center" wrapText="1"/>
    </xf>
    <xf numFmtId="0" fontId="28" fillId="13" borderId="67" xfId="10" applyFont="1" applyFill="1" applyBorder="1" applyAlignment="1" applyProtection="1">
      <alignment horizontal="center" vertical="center" wrapText="1"/>
    </xf>
    <xf numFmtId="0" fontId="28" fillId="13" borderId="91" xfId="10" applyFont="1" applyFill="1" applyBorder="1" applyAlignment="1" applyProtection="1">
      <alignment horizontal="center" vertical="center" wrapText="1"/>
    </xf>
    <xf numFmtId="0" fontId="28" fillId="13" borderId="88" xfId="10" applyFont="1" applyFill="1" applyBorder="1" applyAlignment="1" applyProtection="1">
      <alignment horizontal="center" vertical="center" wrapText="1"/>
    </xf>
    <xf numFmtId="0" fontId="69" fillId="13" borderId="63" xfId="10" applyFont="1" applyFill="1" applyBorder="1" applyAlignment="1" applyProtection="1">
      <alignment horizontal="center" vertical="center"/>
    </xf>
    <xf numFmtId="0" fontId="50" fillId="13" borderId="64" xfId="10" applyFont="1" applyFill="1" applyBorder="1" applyAlignment="1" applyProtection="1">
      <alignment horizontal="center" vertical="center" wrapText="1"/>
    </xf>
    <xf numFmtId="0" fontId="53" fillId="3" borderId="78" xfId="10" applyFont="1" applyFill="1" applyBorder="1" applyAlignment="1" applyProtection="1">
      <alignment vertical="center" wrapText="1"/>
    </xf>
    <xf numFmtId="0" fontId="54" fillId="3" borderId="91" xfId="10" applyFont="1" applyFill="1" applyBorder="1" applyAlignment="1" applyProtection="1">
      <alignment horizontal="center" vertical="center"/>
    </xf>
    <xf numFmtId="0" fontId="54" fillId="3" borderId="61" xfId="10" applyFont="1" applyFill="1" applyBorder="1" applyAlignment="1" applyProtection="1">
      <alignment horizontal="center" vertical="center"/>
    </xf>
    <xf numFmtId="2" fontId="54" fillId="3" borderId="61" xfId="10" applyNumberFormat="1" applyFont="1" applyFill="1" applyBorder="1" applyAlignment="1" applyProtection="1">
      <alignment horizontal="center" vertical="center"/>
    </xf>
    <xf numFmtId="2" fontId="54" fillId="3" borderId="62" xfId="10" applyNumberFormat="1" applyFont="1" applyFill="1" applyBorder="1" applyAlignment="1" applyProtection="1">
      <alignment horizontal="center" vertical="center"/>
    </xf>
    <xf numFmtId="0" fontId="54" fillId="3" borderId="61" xfId="10" applyFont="1" applyFill="1" applyBorder="1" applyAlignment="1" applyProtection="1">
      <alignment horizontal="center" vertical="center" wrapText="1"/>
    </xf>
    <xf numFmtId="0" fontId="54" fillId="3" borderId="62" xfId="10" applyFont="1" applyFill="1" applyBorder="1" applyAlignment="1" applyProtection="1">
      <alignment horizontal="center" vertical="center" wrapText="1"/>
    </xf>
    <xf numFmtId="14" fontId="54" fillId="0" borderId="0" xfId="10" applyNumberFormat="1" applyFont="1" applyAlignment="1" applyProtection="1">
      <alignment vertical="center" wrapText="1"/>
      <protection locked="0"/>
    </xf>
    <xf numFmtId="0" fontId="54" fillId="0" borderId="0" xfId="10" applyFont="1" applyAlignment="1" applyProtection="1">
      <alignment vertical="center" wrapText="1"/>
      <protection locked="0"/>
    </xf>
    <xf numFmtId="0" fontId="54" fillId="0" borderId="0" xfId="10" applyFont="1" applyAlignment="1" applyProtection="1">
      <alignment horizontal="center" vertical="center" wrapText="1"/>
      <protection locked="0"/>
    </xf>
    <xf numFmtId="0" fontId="54" fillId="0" borderId="0" xfId="10" applyFont="1" applyAlignment="1" applyProtection="1">
      <alignment vertical="center" wrapText="1"/>
    </xf>
    <xf numFmtId="0" fontId="2" fillId="18" borderId="75" xfId="10" applyFont="1" applyFill="1" applyBorder="1" applyAlignment="1" applyProtection="1">
      <alignment vertical="center"/>
    </xf>
    <xf numFmtId="0" fontId="2" fillId="11" borderId="60" xfId="10" applyFont="1" applyFill="1" applyBorder="1" applyAlignment="1" applyProtection="1">
      <alignment horizontal="center" vertical="center"/>
      <protection locked="0"/>
    </xf>
    <xf numFmtId="0" fontId="2" fillId="11" borderId="61" xfId="10" applyFont="1" applyFill="1" applyBorder="1" applyAlignment="1" applyProtection="1">
      <alignment horizontal="center" vertical="center" wrapText="1"/>
      <protection locked="0"/>
    </xf>
    <xf numFmtId="0" fontId="2" fillId="11" borderId="62" xfId="10" applyFont="1" applyFill="1" applyBorder="1" applyAlignment="1" applyProtection="1">
      <alignment horizontal="center" vertical="center" wrapText="1"/>
      <protection locked="0"/>
    </xf>
    <xf numFmtId="0" fontId="2" fillId="11" borderId="60" xfId="10" applyFont="1" applyFill="1" applyBorder="1" applyAlignment="1" applyProtection="1">
      <alignment horizontal="center"/>
      <protection locked="0"/>
    </xf>
    <xf numFmtId="2" fontId="58" fillId="18" borderId="62" xfId="10" applyNumberFormat="1" applyFont="1" applyFill="1" applyBorder="1" applyAlignment="1" applyProtection="1">
      <alignment horizontal="center"/>
    </xf>
    <xf numFmtId="0" fontId="2" fillId="11" borderId="61" xfId="10" applyFont="1" applyFill="1" applyBorder="1" applyAlignment="1" applyProtection="1">
      <alignment horizontal="center" wrapText="1"/>
      <protection locked="0"/>
    </xf>
    <xf numFmtId="0" fontId="2" fillId="11" borderId="62" xfId="10" applyFont="1" applyFill="1" applyBorder="1" applyAlignment="1" applyProtection="1">
      <alignment horizontal="center" wrapText="1"/>
      <protection locked="0"/>
    </xf>
    <xf numFmtId="0" fontId="40" fillId="13" borderId="9" xfId="10" applyFont="1" applyFill="1" applyBorder="1" applyAlignment="1" applyProtection="1">
      <alignment vertical="center"/>
    </xf>
    <xf numFmtId="0" fontId="40" fillId="13" borderId="1" xfId="10" applyFont="1" applyFill="1" applyBorder="1" applyAlignment="1" applyProtection="1">
      <alignment vertical="center"/>
    </xf>
    <xf numFmtId="0" fontId="40" fillId="13" borderId="70" xfId="10" applyFont="1" applyFill="1" applyBorder="1" applyAlignment="1" applyProtection="1">
      <alignment vertical="center"/>
    </xf>
    <xf numFmtId="0" fontId="40" fillId="13" borderId="71" xfId="10" applyFont="1" applyFill="1" applyBorder="1" applyAlignment="1" applyProtection="1">
      <alignment vertical="center"/>
    </xf>
    <xf numFmtId="0" fontId="44" fillId="13" borderId="71" xfId="10" applyFont="1" applyFill="1" applyBorder="1" applyAlignment="1" applyProtection="1">
      <alignment horizontal="right" vertical="center"/>
    </xf>
    <xf numFmtId="2" fontId="61" fillId="13" borderId="71" xfId="10" applyNumberFormat="1" applyFont="1" applyFill="1" applyBorder="1" applyAlignment="1" applyProtection="1">
      <alignment horizontal="right" vertical="center"/>
    </xf>
    <xf numFmtId="2" fontId="61" fillId="13" borderId="72" xfId="10" applyNumberFormat="1" applyFont="1" applyFill="1" applyBorder="1" applyAlignment="1" applyProtection="1">
      <alignment horizontal="right" vertical="center"/>
    </xf>
    <xf numFmtId="2" fontId="61" fillId="13" borderId="9" xfId="10" applyNumberFormat="1" applyFont="1" applyFill="1" applyBorder="1" applyAlignment="1" applyProtection="1">
      <alignment horizontal="right" vertical="center"/>
    </xf>
    <xf numFmtId="2" fontId="61" fillId="13" borderId="83" xfId="10" applyNumberFormat="1" applyFont="1" applyFill="1" applyBorder="1" applyAlignment="1" applyProtection="1">
      <alignment horizontal="right" vertical="center"/>
    </xf>
    <xf numFmtId="2" fontId="61" fillId="13" borderId="125" xfId="10" applyNumberFormat="1" applyFont="1" applyFill="1" applyBorder="1" applyAlignment="1" applyProtection="1">
      <alignment horizontal="right" vertical="center"/>
    </xf>
    <xf numFmtId="0" fontId="64" fillId="13" borderId="70" xfId="10" applyFont="1" applyFill="1" applyBorder="1" applyAlignment="1" applyProtection="1">
      <alignment vertical="center"/>
    </xf>
    <xf numFmtId="0" fontId="64" fillId="13" borderId="97" xfId="10" applyFont="1" applyFill="1" applyBorder="1" applyAlignment="1" applyProtection="1">
      <alignment vertical="center"/>
    </xf>
    <xf numFmtId="0" fontId="64" fillId="13" borderId="71" xfId="10" applyFont="1" applyFill="1" applyBorder="1" applyAlignment="1" applyProtection="1">
      <alignment vertical="center"/>
    </xf>
    <xf numFmtId="0" fontId="64" fillId="13" borderId="72" xfId="10" applyFont="1" applyFill="1" applyBorder="1" applyAlignment="1" applyProtection="1">
      <alignment vertical="center"/>
    </xf>
    <xf numFmtId="0" fontId="40" fillId="0" borderId="1" xfId="10" applyFont="1" applyFill="1" applyBorder="1" applyAlignment="1" applyProtection="1">
      <alignment vertical="center"/>
    </xf>
    <xf numFmtId="0" fontId="40" fillId="0" borderId="31" xfId="10" applyFont="1" applyFill="1" applyBorder="1" applyAlignment="1" applyProtection="1">
      <alignment vertical="center"/>
    </xf>
    <xf numFmtId="0" fontId="14" fillId="13" borderId="87" xfId="10" applyFont="1" applyFill="1" applyBorder="1" applyAlignment="1" applyProtection="1">
      <alignment horizontal="center"/>
    </xf>
    <xf numFmtId="0" fontId="39" fillId="13" borderId="87" xfId="10" applyFont="1" applyFill="1" applyBorder="1" applyAlignment="1" applyProtection="1">
      <alignment horizontal="center" vertical="center" wrapText="1"/>
    </xf>
    <xf numFmtId="0" fontId="28" fillId="13" borderId="90" xfId="10" applyFont="1" applyFill="1" applyBorder="1" applyAlignment="1" applyProtection="1">
      <alignment horizontal="center"/>
    </xf>
    <xf numFmtId="0" fontId="14" fillId="13" borderId="82" xfId="10" applyFont="1" applyFill="1" applyBorder="1" applyAlignment="1" applyProtection="1">
      <alignment horizontal="center"/>
    </xf>
    <xf numFmtId="49" fontId="53" fillId="3" borderId="75" xfId="2" applyNumberFormat="1" applyFont="1" applyFill="1" applyBorder="1" applyAlignment="1" applyProtection="1"/>
    <xf numFmtId="0" fontId="54" fillId="3" borderId="60" xfId="10" applyFont="1" applyFill="1" applyBorder="1" applyAlignment="1" applyProtection="1">
      <alignment horizontal="center"/>
    </xf>
    <xf numFmtId="0" fontId="54" fillId="3" borderId="61" xfId="10" applyFont="1" applyFill="1" applyBorder="1" applyAlignment="1" applyProtection="1">
      <alignment horizontal="center"/>
    </xf>
    <xf numFmtId="2" fontId="54" fillId="3" borderId="61" xfId="10" applyNumberFormat="1" applyFont="1" applyFill="1" applyBorder="1" applyAlignment="1" applyProtection="1">
      <alignment horizontal="center"/>
    </xf>
    <xf numFmtId="2" fontId="54" fillId="3" borderId="62" xfId="10" applyNumberFormat="1" applyFont="1" applyFill="1" applyBorder="1" applyAlignment="1" applyProtection="1">
      <alignment horizontal="center"/>
    </xf>
    <xf numFmtId="0" fontId="54" fillId="0" borderId="0" xfId="10" applyFont="1" applyProtection="1">
      <protection locked="0"/>
    </xf>
    <xf numFmtId="0" fontId="54" fillId="0" borderId="0" xfId="10" applyFont="1" applyProtection="1"/>
    <xf numFmtId="0" fontId="2" fillId="18" borderId="75" xfId="10" applyFont="1" applyFill="1" applyBorder="1" applyProtection="1"/>
    <xf numFmtId="0" fontId="57" fillId="18" borderId="61" xfId="10" applyFont="1" applyFill="1" applyBorder="1" applyAlignment="1" applyProtection="1">
      <alignment horizontal="center"/>
    </xf>
    <xf numFmtId="2" fontId="58" fillId="18" borderId="61" xfId="10" applyNumberFormat="1" applyFont="1" applyFill="1" applyBorder="1" applyAlignment="1" applyProtection="1">
      <alignment horizontal="center"/>
    </xf>
    <xf numFmtId="0" fontId="2" fillId="11" borderId="60" xfId="10" applyFont="1" applyFill="1" applyBorder="1" applyProtection="1">
      <protection locked="0"/>
    </xf>
    <xf numFmtId="0" fontId="14" fillId="13" borderId="70" xfId="10" applyFont="1" applyFill="1" applyBorder="1" applyAlignment="1" applyProtection="1">
      <alignment horizontal="right" vertical="center"/>
    </xf>
    <xf numFmtId="2" fontId="61" fillId="13" borderId="68" xfId="10" applyNumberFormat="1" applyFont="1" applyFill="1" applyBorder="1" applyAlignment="1" applyProtection="1">
      <alignment horizontal="right" vertical="center"/>
    </xf>
    <xf numFmtId="2" fontId="61" fillId="13" borderId="70" xfId="10" applyNumberFormat="1" applyFont="1" applyFill="1" applyBorder="1" applyAlignment="1" applyProtection="1">
      <alignment horizontal="right" vertical="center"/>
    </xf>
    <xf numFmtId="0" fontId="40" fillId="0" borderId="3" xfId="10" applyFont="1" applyFill="1" applyBorder="1" applyAlignment="1" applyProtection="1">
      <alignment vertical="center"/>
    </xf>
    <xf numFmtId="0" fontId="28" fillId="0" borderId="4" xfId="10" applyFont="1" applyFill="1" applyBorder="1" applyAlignment="1" applyProtection="1">
      <alignment horizontal="right" vertical="center"/>
    </xf>
    <xf numFmtId="2" fontId="61" fillId="0" borderId="4" xfId="10" applyNumberFormat="1" applyFont="1" applyFill="1" applyBorder="1" applyAlignment="1" applyProtection="1">
      <alignment horizontal="right" vertical="center"/>
    </xf>
    <xf numFmtId="0" fontId="40" fillId="0" borderId="0" xfId="10" applyFont="1" applyFill="1" applyBorder="1" applyAlignment="1" applyProtection="1">
      <alignment vertical="center"/>
    </xf>
    <xf numFmtId="0" fontId="40" fillId="0" borderId="13" xfId="10" applyFont="1" applyFill="1" applyBorder="1" applyAlignment="1" applyProtection="1">
      <alignment vertical="center"/>
    </xf>
    <xf numFmtId="0" fontId="44" fillId="4" borderId="5" xfId="10" applyFont="1" applyFill="1" applyBorder="1" applyAlignment="1" applyProtection="1">
      <alignment horizontal="left" vertical="center"/>
    </xf>
    <xf numFmtId="0" fontId="44" fillId="4" borderId="6" xfId="10" applyFont="1" applyFill="1" applyBorder="1" applyAlignment="1" applyProtection="1">
      <alignment horizontal="left" vertical="center"/>
    </xf>
    <xf numFmtId="0" fontId="67" fillId="4" borderId="6" xfId="10" applyFont="1" applyFill="1" applyBorder="1" applyAlignment="1" applyProtection="1">
      <alignment horizontal="left" vertical="center"/>
    </xf>
    <xf numFmtId="0" fontId="67" fillId="4" borderId="7" xfId="10" applyFont="1" applyFill="1" applyBorder="1" applyAlignment="1" applyProtection="1">
      <alignment horizontal="left" vertical="center"/>
    </xf>
    <xf numFmtId="0" fontId="14" fillId="13" borderId="0" xfId="10" applyFont="1" applyFill="1" applyBorder="1" applyAlignment="1" applyProtection="1">
      <alignment horizontal="center"/>
    </xf>
    <xf numFmtId="0" fontId="69" fillId="13" borderId="82" xfId="10" applyFont="1" applyFill="1" applyBorder="1" applyAlignment="1" applyProtection="1">
      <alignment horizontal="center" vertical="center"/>
    </xf>
    <xf numFmtId="0" fontId="54" fillId="3" borderId="91" xfId="10" applyFont="1" applyFill="1" applyBorder="1" applyAlignment="1" applyProtection="1">
      <alignment horizontal="center" vertical="center" wrapText="1"/>
    </xf>
    <xf numFmtId="2" fontId="57" fillId="18" borderId="61" xfId="10" applyNumberFormat="1" applyFont="1" applyFill="1" applyBorder="1" applyAlignment="1" applyProtection="1">
      <alignment horizontal="center" vertical="center"/>
    </xf>
    <xf numFmtId="0" fontId="108" fillId="13" borderId="70" xfId="10" applyFont="1" applyFill="1" applyBorder="1" applyAlignment="1" applyProtection="1">
      <alignment vertical="center"/>
    </xf>
    <xf numFmtId="0" fontId="40" fillId="0" borderId="9" xfId="10" applyFont="1" applyFill="1" applyBorder="1" applyAlignment="1" applyProtection="1">
      <alignment vertical="center"/>
    </xf>
    <xf numFmtId="2" fontId="61" fillId="0" borderId="1" xfId="10" applyNumberFormat="1" applyFont="1" applyFill="1" applyBorder="1" applyAlignment="1" applyProtection="1">
      <alignment horizontal="right" vertical="center"/>
    </xf>
    <xf numFmtId="2" fontId="61" fillId="0" borderId="0" xfId="10" applyNumberFormat="1" applyFont="1" applyFill="1" applyBorder="1" applyAlignment="1" applyProtection="1">
      <alignment horizontal="right" vertical="center"/>
    </xf>
    <xf numFmtId="0" fontId="40" fillId="4" borderId="6" xfId="10" applyFont="1" applyFill="1" applyBorder="1" applyAlignment="1" applyProtection="1">
      <alignment horizontal="center" vertical="center"/>
    </xf>
    <xf numFmtId="0" fontId="40" fillId="4" borderId="6" xfId="10" applyFont="1" applyFill="1" applyBorder="1" applyAlignment="1" applyProtection="1">
      <alignment horizontal="center" vertical="center" wrapText="1"/>
    </xf>
    <xf numFmtId="0" fontId="44" fillId="4" borderId="6" xfId="10" applyFont="1" applyFill="1" applyBorder="1" applyAlignment="1" applyProtection="1">
      <alignment horizontal="center" vertical="center" wrapText="1"/>
    </xf>
    <xf numFmtId="0" fontId="44" fillId="4" borderId="7" xfId="10" applyFont="1" applyFill="1" applyBorder="1" applyAlignment="1" applyProtection="1">
      <alignment horizontal="center" vertical="center" wrapText="1"/>
    </xf>
    <xf numFmtId="0" fontId="44" fillId="0" borderId="4" xfId="10" applyFont="1" applyFill="1" applyBorder="1" applyAlignment="1" applyProtection="1">
      <alignment horizontal="right" vertical="center"/>
    </xf>
    <xf numFmtId="0" fontId="44" fillId="19" borderId="53" xfId="10" applyFont="1" applyFill="1" applyBorder="1" applyAlignment="1" applyProtection="1">
      <alignment vertical="center"/>
    </xf>
    <xf numFmtId="0" fontId="44" fillId="19" borderId="54" xfId="10" applyFont="1" applyFill="1" applyBorder="1" applyAlignment="1" applyProtection="1">
      <alignment vertical="center"/>
    </xf>
    <xf numFmtId="0" fontId="44" fillId="19" borderId="80" xfId="10" applyFont="1" applyFill="1" applyBorder="1" applyAlignment="1" applyProtection="1">
      <alignment vertical="center"/>
    </xf>
    <xf numFmtId="0" fontId="69" fillId="13" borderId="76" xfId="10" applyFont="1" applyFill="1" applyBorder="1" applyAlignment="1" applyProtection="1">
      <alignment horizontal="center" vertical="center"/>
    </xf>
    <xf numFmtId="0" fontId="14" fillId="0" borderId="0" xfId="10" applyFont="1" applyFill="1" applyBorder="1" applyAlignment="1" applyProtection="1">
      <alignment horizontal="center"/>
    </xf>
    <xf numFmtId="0" fontId="50" fillId="0" borderId="0" xfId="10" applyFont="1" applyFill="1" applyBorder="1" applyAlignment="1" applyProtection="1"/>
    <xf numFmtId="0" fontId="28" fillId="13" borderId="51" xfId="10" applyFont="1" applyFill="1" applyBorder="1" applyAlignment="1" applyProtection="1">
      <alignment horizontal="center" vertical="center" wrapText="1"/>
    </xf>
    <xf numFmtId="0" fontId="50" fillId="0" borderId="0" xfId="10" applyFont="1" applyFill="1" applyBorder="1" applyAlignment="1" applyProtection="1">
      <alignment horizontal="center" vertical="center" wrapText="1"/>
    </xf>
    <xf numFmtId="0" fontId="54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alignment horizontal="center" wrapText="1"/>
    </xf>
    <xf numFmtId="2" fontId="61" fillId="13" borderId="69" xfId="10" applyNumberFormat="1" applyFont="1" applyFill="1" applyBorder="1" applyAlignment="1" applyProtection="1">
      <alignment horizontal="right" vertical="center"/>
    </xf>
    <xf numFmtId="0" fontId="64" fillId="0" borderId="0" xfId="10" applyFont="1" applyFill="1" applyBorder="1" applyAlignment="1" applyProtection="1">
      <alignment vertical="center"/>
    </xf>
    <xf numFmtId="2" fontId="61" fillId="0" borderId="31" xfId="10" applyNumberFormat="1" applyFont="1" applyFill="1" applyBorder="1" applyAlignment="1" applyProtection="1">
      <alignment horizontal="right" vertical="center"/>
    </xf>
    <xf numFmtId="187" fontId="44" fillId="4" borderId="5" xfId="10" applyNumberFormat="1" applyFont="1" applyFill="1" applyBorder="1" applyAlignment="1" applyProtection="1">
      <alignment horizontal="left" vertical="center"/>
    </xf>
    <xf numFmtId="0" fontId="44" fillId="4" borderId="7" xfId="10" applyFont="1" applyFill="1" applyBorder="1" applyAlignment="1" applyProtection="1">
      <alignment horizontal="left" vertical="center"/>
    </xf>
    <xf numFmtId="0" fontId="14" fillId="13" borderId="95" xfId="10" applyFont="1" applyFill="1" applyBorder="1" applyAlignment="1" applyProtection="1">
      <alignment horizontal="center"/>
    </xf>
    <xf numFmtId="0" fontId="100" fillId="13" borderId="96" xfId="10" applyFont="1" applyFill="1" applyBorder="1" applyAlignment="1" applyProtection="1">
      <alignment horizontal="center" vertical="center" wrapText="1"/>
    </xf>
    <xf numFmtId="0" fontId="39" fillId="13" borderId="63" xfId="10" applyFont="1" applyFill="1" applyBorder="1" applyAlignment="1" applyProtection="1">
      <alignment horizontal="center" vertical="center" wrapText="1"/>
    </xf>
    <xf numFmtId="0" fontId="2" fillId="11" borderId="61" xfId="10" applyFont="1" applyFill="1" applyBorder="1" applyAlignment="1" applyProtection="1">
      <alignment horizontal="center"/>
      <protection locked="0"/>
    </xf>
    <xf numFmtId="2" fontId="57" fillId="18" borderId="61" xfId="10" applyNumberFormat="1" applyFont="1" applyFill="1" applyBorder="1" applyAlignment="1" applyProtection="1">
      <alignment horizontal="center"/>
    </xf>
    <xf numFmtId="2" fontId="57" fillId="18" borderId="62" xfId="10" applyNumberFormat="1" applyFont="1" applyFill="1" applyBorder="1" applyAlignment="1" applyProtection="1">
      <alignment horizontal="center"/>
    </xf>
    <xf numFmtId="0" fontId="2" fillId="11" borderId="61" xfId="10" applyFont="1" applyFill="1" applyBorder="1" applyProtection="1">
      <protection locked="0"/>
    </xf>
    <xf numFmtId="0" fontId="14" fillId="0" borderId="1" xfId="10" applyFont="1" applyFill="1" applyBorder="1" applyAlignment="1" applyProtection="1">
      <alignment horizontal="right" vertical="center"/>
    </xf>
    <xf numFmtId="2" fontId="61" fillId="0" borderId="10" xfId="10" applyNumberFormat="1" applyFont="1" applyFill="1" applyBorder="1" applyAlignment="1" applyProtection="1">
      <alignment horizontal="right" vertical="center"/>
    </xf>
    <xf numFmtId="187" fontId="44" fillId="4" borderId="3" xfId="10" applyNumberFormat="1" applyFont="1" applyFill="1" applyBorder="1" applyAlignment="1" applyProtection="1">
      <alignment horizontal="left" vertical="center"/>
    </xf>
    <xf numFmtId="0" fontId="44" fillId="4" borderId="31" xfId="10" applyFont="1" applyFill="1" applyBorder="1" applyAlignment="1" applyProtection="1">
      <alignment horizontal="left" vertical="center"/>
    </xf>
    <xf numFmtId="0" fontId="44" fillId="0" borderId="0" xfId="10" applyFont="1" applyFill="1" applyBorder="1" applyAlignment="1" applyProtection="1">
      <alignment horizontal="left" vertical="center"/>
    </xf>
    <xf numFmtId="0" fontId="40" fillId="0" borderId="0" xfId="10" applyFont="1" applyFill="1" applyAlignment="1" applyProtection="1">
      <alignment vertical="center"/>
    </xf>
    <xf numFmtId="0" fontId="14" fillId="13" borderId="84" xfId="10" applyFont="1" applyFill="1" applyBorder="1" applyAlignment="1" applyProtection="1">
      <alignment horizontal="center"/>
    </xf>
    <xf numFmtId="0" fontId="14" fillId="13" borderId="78" xfId="10" applyFont="1" applyFill="1" applyBorder="1" applyAlignment="1" applyProtection="1">
      <alignment horizontal="center"/>
    </xf>
    <xf numFmtId="0" fontId="14" fillId="13" borderId="88" xfId="10" applyFont="1" applyFill="1" applyBorder="1" applyAlignment="1" applyProtection="1">
      <alignment horizontal="center"/>
    </xf>
    <xf numFmtId="0" fontId="28" fillId="13" borderId="88" xfId="10" applyFont="1" applyFill="1" applyBorder="1" applyAlignment="1" applyProtection="1">
      <alignment horizontal="center"/>
    </xf>
    <xf numFmtId="0" fontId="2" fillId="13" borderId="100" xfId="10" applyFont="1" applyFill="1" applyBorder="1" applyAlignment="1" applyProtection="1"/>
    <xf numFmtId="0" fontId="2" fillId="18" borderId="75" xfId="10" applyFont="1" applyFill="1" applyBorder="1" applyAlignment="1" applyProtection="1">
      <alignment horizontal="left"/>
    </xf>
    <xf numFmtId="0" fontId="2" fillId="0" borderId="89" xfId="10" applyFont="1" applyFill="1" applyBorder="1" applyAlignment="1" applyProtection="1">
      <alignment horizontal="left"/>
    </xf>
    <xf numFmtId="0" fontId="2" fillId="0" borderId="61" xfId="10" applyFont="1" applyFill="1" applyBorder="1" applyAlignment="1" applyProtection="1">
      <alignment horizontal="center" vertical="center"/>
      <protection locked="0"/>
    </xf>
    <xf numFmtId="0" fontId="58" fillId="18" borderId="61" xfId="10" applyFont="1" applyFill="1" applyBorder="1" applyAlignment="1" applyProtection="1">
      <alignment horizontal="center"/>
    </xf>
    <xf numFmtId="0" fontId="2" fillId="0" borderId="0" xfId="10" applyFont="1" applyFill="1" applyProtection="1"/>
    <xf numFmtId="0" fontId="2" fillId="0" borderId="61" xfId="10" applyFont="1" applyFill="1" applyBorder="1" applyAlignment="1" applyProtection="1">
      <alignment horizontal="center" vertical="center" wrapText="1"/>
      <protection locked="0"/>
    </xf>
    <xf numFmtId="0" fontId="2" fillId="0" borderId="89" xfId="10" applyFont="1" applyFill="1" applyBorder="1" applyProtection="1"/>
    <xf numFmtId="0" fontId="2" fillId="13" borderId="68" xfId="10" applyFont="1" applyFill="1" applyBorder="1" applyAlignment="1" applyProtection="1">
      <alignment vertical="center"/>
    </xf>
    <xf numFmtId="0" fontId="2" fillId="13" borderId="69" xfId="10" applyFont="1" applyFill="1" applyBorder="1" applyAlignment="1" applyProtection="1">
      <alignment vertical="center"/>
    </xf>
    <xf numFmtId="0" fontId="2" fillId="13" borderId="71" xfId="10" applyFont="1" applyFill="1" applyBorder="1" applyAlignment="1" applyProtection="1">
      <alignment vertical="center"/>
    </xf>
    <xf numFmtId="0" fontId="14" fillId="13" borderId="71" xfId="10" applyFont="1" applyFill="1" applyBorder="1" applyAlignment="1" applyProtection="1">
      <alignment horizontal="right" vertical="center"/>
    </xf>
    <xf numFmtId="0" fontId="2" fillId="13" borderId="125" xfId="10" applyFont="1" applyFill="1" applyBorder="1" applyAlignment="1" applyProtection="1">
      <alignment vertical="center"/>
    </xf>
    <xf numFmtId="0" fontId="2" fillId="13" borderId="107" xfId="10" applyFont="1" applyFill="1" applyBorder="1" applyAlignment="1" applyProtection="1">
      <alignment vertical="center"/>
    </xf>
    <xf numFmtId="0" fontId="2" fillId="0" borderId="0" xfId="10" applyFont="1" applyFill="1" applyBorder="1" applyAlignment="1" applyProtection="1">
      <alignment vertical="center"/>
    </xf>
    <xf numFmtId="0" fontId="2" fillId="0" borderId="0" xfId="10" applyProtection="1"/>
    <xf numFmtId="0" fontId="2" fillId="0" borderId="0" xfId="10" applyProtection="1">
      <protection locked="0"/>
    </xf>
    <xf numFmtId="0" fontId="2" fillId="0" borderId="0" xfId="10" applyAlignment="1" applyProtection="1">
      <alignment horizontal="center"/>
      <protection locked="0"/>
    </xf>
    <xf numFmtId="188" fontId="40" fillId="0" borderId="0" xfId="10" applyNumberFormat="1" applyFont="1" applyProtection="1">
      <protection locked="0"/>
    </xf>
    <xf numFmtId="14" fontId="40" fillId="0" borderId="0" xfId="10" applyNumberFormat="1" applyFont="1" applyAlignment="1" applyProtection="1">
      <alignment vertical="center"/>
      <protection locked="0"/>
    </xf>
    <xf numFmtId="189" fontId="40" fillId="0" borderId="0" xfId="10" applyNumberFormat="1" applyFont="1" applyProtection="1">
      <protection locked="0"/>
    </xf>
    <xf numFmtId="188" fontId="40" fillId="0" borderId="0" xfId="3" applyNumberFormat="1" applyFont="1" applyProtection="1"/>
    <xf numFmtId="0" fontId="31" fillId="0" borderId="1" xfId="9" applyFont="1" applyFill="1" applyBorder="1" applyAlignment="1" applyProtection="1">
      <alignment horizontal="center" vertical="center"/>
    </xf>
    <xf numFmtId="0" fontId="31" fillId="0" borderId="10" xfId="9" applyFont="1" applyFill="1" applyBorder="1" applyAlignment="1" applyProtection="1">
      <alignment horizontal="center" vertical="center"/>
    </xf>
    <xf numFmtId="0" fontId="31" fillId="0" borderId="9" xfId="9" applyFont="1" applyFill="1" applyBorder="1" applyAlignment="1" applyProtection="1">
      <alignment horizontal="left" vertical="center"/>
    </xf>
    <xf numFmtId="0" fontId="11" fillId="0" borderId="14" xfId="9" applyFill="1" applyBorder="1" applyAlignment="1" applyProtection="1">
      <alignment horizontal="center" vertical="center"/>
    </xf>
    <xf numFmtId="0" fontId="11" fillId="0" borderId="24" xfId="9" applyFill="1" applyBorder="1" applyAlignment="1" applyProtection="1">
      <alignment horizontal="center" vertical="center"/>
    </xf>
    <xf numFmtId="190" fontId="11" fillId="0" borderId="0" xfId="3" applyNumberFormat="1" applyFont="1" applyAlignment="1" applyProtection="1"/>
    <xf numFmtId="190" fontId="11" fillId="0" borderId="0" xfId="3" applyNumberFormat="1" applyFont="1" applyAlignment="1" applyProtection="1">
      <alignment horizontal="center"/>
      <protection locked="0"/>
    </xf>
    <xf numFmtId="190" fontId="40" fillId="0" borderId="0" xfId="3" applyNumberFormat="1" applyFont="1" applyProtection="1"/>
    <xf numFmtId="190" fontId="2" fillId="0" borderId="0" xfId="10" applyNumberFormat="1" applyFont="1" applyAlignment="1" applyProtection="1">
      <alignment vertical="center" wrapText="1"/>
      <protection locked="0"/>
    </xf>
    <xf numFmtId="190" fontId="2" fillId="0" borderId="0" xfId="10" applyNumberFormat="1" applyFont="1" applyAlignment="1" applyProtection="1">
      <protection locked="0"/>
    </xf>
    <xf numFmtId="0" fontId="2" fillId="0" borderId="89" xfId="10" applyFont="1" applyBorder="1" applyAlignment="1" applyProtection="1">
      <alignment horizontal="left"/>
      <protection locked="0"/>
    </xf>
    <xf numFmtId="0" fontId="14" fillId="13" borderId="93" xfId="10" applyFont="1" applyFill="1" applyBorder="1" applyAlignment="1" applyProtection="1">
      <alignment horizontal="center"/>
    </xf>
    <xf numFmtId="188" fontId="2" fillId="0" borderId="52" xfId="1" applyNumberFormat="1" applyFont="1" applyFill="1" applyBorder="1" applyAlignment="1" applyProtection="1">
      <alignment horizontal="left"/>
      <protection locked="0"/>
    </xf>
    <xf numFmtId="0" fontId="14" fillId="13" borderId="93" xfId="10" applyFont="1" applyFill="1" applyBorder="1" applyAlignment="1" applyProtection="1">
      <alignment horizontal="center" vertical="center" wrapText="1"/>
    </xf>
    <xf numFmtId="0" fontId="2" fillId="0" borderId="89" xfId="10" applyFont="1" applyBorder="1" applyAlignment="1" applyProtection="1">
      <alignment horizontal="left"/>
      <protection locked="0"/>
    </xf>
    <xf numFmtId="187" fontId="0" fillId="0" borderId="0" xfId="0" applyNumberFormat="1" applyAlignment="1">
      <alignment horizontal="center"/>
    </xf>
    <xf numFmtId="0" fontId="40" fillId="0" borderId="0" xfId="10" applyFont="1" applyFill="1" applyProtection="1"/>
    <xf numFmtId="0" fontId="110" fillId="0" borderId="0" xfId="10" applyFont="1" applyFill="1" applyBorder="1" applyProtection="1"/>
    <xf numFmtId="0" fontId="43" fillId="0" borderId="0" xfId="10" applyFont="1" applyFill="1" applyProtection="1"/>
    <xf numFmtId="0" fontId="2" fillId="0" borderId="73" xfId="10" applyFont="1" applyBorder="1" applyAlignment="1" applyProtection="1">
      <alignment horizontal="center" vertical="center" wrapText="1"/>
    </xf>
    <xf numFmtId="0" fontId="2" fillId="0" borderId="66" xfId="10" applyFont="1" applyBorder="1" applyAlignment="1" applyProtection="1">
      <alignment horizontal="center" vertical="center" wrapText="1"/>
    </xf>
    <xf numFmtId="0" fontId="34" fillId="0" borderId="61" xfId="10" applyFont="1" applyBorder="1" applyAlignment="1" applyProtection="1">
      <alignment horizontal="center" vertical="top" wrapText="1"/>
    </xf>
    <xf numFmtId="0" fontId="34" fillId="0" borderId="71" xfId="10" applyFont="1" applyBorder="1" applyAlignment="1" applyProtection="1">
      <alignment horizontal="center" vertical="top" wrapText="1"/>
    </xf>
    <xf numFmtId="0" fontId="46" fillId="17" borderId="11" xfId="10" applyFont="1" applyFill="1" applyBorder="1" applyAlignment="1" applyProtection="1">
      <alignment horizontal="left"/>
    </xf>
    <xf numFmtId="0" fontId="40" fillId="17" borderId="6" xfId="10" applyFont="1" applyFill="1" applyBorder="1" applyProtection="1"/>
    <xf numFmtId="0" fontId="44" fillId="17" borderId="7" xfId="10" applyFont="1" applyFill="1" applyBorder="1" applyAlignment="1" applyProtection="1">
      <alignment horizontal="center" wrapText="1"/>
    </xf>
    <xf numFmtId="0" fontId="28" fillId="13" borderId="95" xfId="10" applyFont="1" applyFill="1" applyBorder="1" applyAlignment="1" applyProtection="1">
      <alignment horizontal="center"/>
    </xf>
    <xf numFmtId="0" fontId="28" fillId="13" borderId="95" xfId="10" applyFont="1" applyFill="1" applyBorder="1" applyAlignment="1" applyProtection="1">
      <alignment horizontal="center" vertical="center" wrapText="1"/>
    </xf>
    <xf numFmtId="0" fontId="28" fillId="13" borderId="96" xfId="10" applyFont="1" applyFill="1" applyBorder="1" applyAlignment="1" applyProtection="1">
      <alignment horizontal="center" vertical="center" wrapText="1"/>
    </xf>
    <xf numFmtId="0" fontId="14" fillId="13" borderId="51" xfId="10" applyFont="1" applyFill="1" applyBorder="1" applyAlignment="1" applyProtection="1">
      <alignment horizontal="center" vertical="center" wrapText="1"/>
    </xf>
    <xf numFmtId="0" fontId="69" fillId="13" borderId="63" xfId="10" applyFont="1" applyFill="1" applyBorder="1" applyAlignment="1" applyProtection="1">
      <alignment horizontal="center"/>
    </xf>
    <xf numFmtId="1" fontId="58" fillId="18" borderId="61" xfId="10" applyNumberFormat="1" applyFont="1" applyFill="1" applyBorder="1" applyAlignment="1" applyProtection="1">
      <alignment horizontal="center"/>
    </xf>
    <xf numFmtId="0" fontId="2" fillId="12" borderId="68" xfId="10" applyFont="1" applyFill="1" applyBorder="1" applyProtection="1"/>
    <xf numFmtId="0" fontId="28" fillId="12" borderId="69" xfId="10" applyFont="1" applyFill="1" applyBorder="1" applyAlignment="1" applyProtection="1">
      <alignment horizontal="center"/>
    </xf>
    <xf numFmtId="0" fontId="2" fillId="12" borderId="69" xfId="10" applyFont="1" applyFill="1" applyBorder="1" applyAlignment="1" applyProtection="1">
      <alignment horizontal="center"/>
    </xf>
    <xf numFmtId="0" fontId="111" fillId="12" borderId="69" xfId="10" applyFont="1" applyFill="1" applyBorder="1" applyAlignment="1" applyProtection="1">
      <alignment horizontal="center"/>
    </xf>
    <xf numFmtId="0" fontId="2" fillId="0" borderId="4" xfId="10" applyFont="1" applyFill="1" applyBorder="1" applyProtection="1"/>
    <xf numFmtId="0" fontId="28" fillId="0" borderId="4" xfId="10" applyFont="1" applyFill="1" applyBorder="1" applyAlignment="1" applyProtection="1">
      <alignment horizontal="right"/>
    </xf>
    <xf numFmtId="0" fontId="28" fillId="0" borderId="4" xfId="10" applyFont="1" applyFill="1" applyBorder="1" applyAlignment="1" applyProtection="1">
      <alignment horizontal="center"/>
    </xf>
    <xf numFmtId="0" fontId="2" fillId="0" borderId="4" xfId="10" applyFont="1" applyFill="1" applyBorder="1" applyAlignment="1" applyProtection="1">
      <alignment horizontal="center"/>
    </xf>
    <xf numFmtId="0" fontId="2" fillId="0" borderId="4" xfId="10" applyFont="1" applyFill="1" applyBorder="1" applyAlignment="1" applyProtection="1"/>
    <xf numFmtId="2" fontId="28" fillId="0" borderId="4" xfId="10" applyNumberFormat="1" applyFont="1" applyFill="1" applyBorder="1" applyAlignment="1" applyProtection="1">
      <alignment horizontal="right"/>
    </xf>
    <xf numFmtId="0" fontId="2" fillId="0" borderId="1" xfId="10" applyFont="1" applyFill="1" applyBorder="1" applyProtection="1"/>
    <xf numFmtId="0" fontId="28" fillId="0" borderId="1" xfId="10" applyFont="1" applyFill="1" applyBorder="1" applyAlignment="1" applyProtection="1">
      <alignment horizontal="right"/>
    </xf>
    <xf numFmtId="0" fontId="28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/>
    <xf numFmtId="2" fontId="28" fillId="0" borderId="1" xfId="10" applyNumberFormat="1" applyFont="1" applyFill="1" applyBorder="1" applyAlignment="1" applyProtection="1">
      <alignment horizontal="right"/>
    </xf>
    <xf numFmtId="0" fontId="2" fillId="0" borderId="61" xfId="10" applyFont="1" applyBorder="1" applyAlignment="1" applyProtection="1">
      <alignment horizontal="center"/>
      <protection locked="0"/>
    </xf>
    <xf numFmtId="0" fontId="14" fillId="13" borderId="88" xfId="10" applyFont="1" applyFill="1" applyBorder="1" applyAlignment="1" applyProtection="1">
      <alignment horizontal="left" vertical="center" wrapText="1"/>
    </xf>
    <xf numFmtId="0" fontId="61" fillId="0" borderId="0" xfId="10" applyFont="1" applyFill="1" applyBorder="1" applyAlignment="1" applyProtection="1">
      <alignment horizontal="right" vertical="center"/>
    </xf>
    <xf numFmtId="0" fontId="61" fillId="0" borderId="1" xfId="10" applyFont="1" applyFill="1" applyBorder="1" applyAlignment="1" applyProtection="1">
      <alignment horizontal="right" vertical="center"/>
    </xf>
    <xf numFmtId="0" fontId="2" fillId="0" borderId="4" xfId="10" applyFont="1" applyFill="1" applyBorder="1" applyAlignment="1" applyProtection="1">
      <alignment vertical="center"/>
    </xf>
    <xf numFmtId="2" fontId="28" fillId="0" borderId="4" xfId="10" applyNumberFormat="1" applyFont="1" applyFill="1" applyBorder="1" applyAlignment="1" applyProtection="1">
      <alignment horizontal="right" vertical="center"/>
    </xf>
    <xf numFmtId="0" fontId="28" fillId="0" borderId="0" xfId="10" applyFont="1" applyFill="1" applyBorder="1" applyAlignment="1" applyProtection="1">
      <alignment horizontal="right" vertical="center"/>
    </xf>
    <xf numFmtId="2" fontId="28" fillId="0" borderId="0" xfId="10" applyNumberFormat="1" applyFont="1" applyFill="1" applyBorder="1" applyAlignment="1" applyProtection="1">
      <alignment horizontal="right" vertical="center"/>
    </xf>
    <xf numFmtId="0" fontId="14" fillId="13" borderId="0" xfId="10" applyFont="1" applyFill="1" applyBorder="1" applyAlignment="1" applyProtection="1">
      <alignment horizontal="center" vertical="center" wrapText="1"/>
    </xf>
    <xf numFmtId="0" fontId="113" fillId="13" borderId="90" xfId="10" applyFont="1" applyFill="1" applyBorder="1" applyAlignment="1" applyProtection="1">
      <alignment horizontal="center" vertical="center" wrapText="1"/>
    </xf>
    <xf numFmtId="0" fontId="69" fillId="13" borderId="82" xfId="10" applyFont="1" applyFill="1" applyBorder="1" applyAlignment="1" applyProtection="1">
      <alignment horizontal="center"/>
    </xf>
    <xf numFmtId="0" fontId="28" fillId="13" borderId="82" xfId="10" applyFont="1" applyFill="1" applyBorder="1" applyAlignment="1" applyProtection="1">
      <alignment horizontal="center" vertical="center" wrapText="1"/>
    </xf>
    <xf numFmtId="0" fontId="28" fillId="13" borderId="76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protection locked="0"/>
    </xf>
    <xf numFmtId="0" fontId="40" fillId="4" borderId="6" xfId="10" applyFont="1" applyFill="1" applyBorder="1" applyAlignment="1" applyProtection="1">
      <alignment vertical="center"/>
    </xf>
    <xf numFmtId="0" fontId="2" fillId="0" borderId="75" xfId="10" applyFont="1" applyBorder="1" applyProtection="1"/>
    <xf numFmtId="0" fontId="2" fillId="0" borderId="61" xfId="10" applyFont="1" applyFill="1" applyBorder="1" applyAlignment="1" applyProtection="1">
      <alignment horizontal="center"/>
      <protection locked="0"/>
    </xf>
    <xf numFmtId="0" fontId="2" fillId="0" borderId="9" xfId="10" applyFont="1" applyFill="1" applyBorder="1" applyProtection="1"/>
    <xf numFmtId="2" fontId="28" fillId="0" borderId="10" xfId="10" applyNumberFormat="1" applyFont="1" applyFill="1" applyBorder="1" applyAlignment="1" applyProtection="1">
      <alignment horizontal="right"/>
    </xf>
    <xf numFmtId="0" fontId="33" fillId="13" borderId="95" xfId="10" applyFont="1" applyFill="1" applyBorder="1" applyAlignment="1" applyProtection="1">
      <alignment horizontal="center" vertical="center" wrapText="1"/>
    </xf>
    <xf numFmtId="0" fontId="14" fillId="13" borderId="87" xfId="10" applyFont="1" applyFill="1" applyBorder="1" applyAlignment="1" applyProtection="1">
      <alignment horizontal="center" vertical="center" wrapText="1"/>
    </xf>
    <xf numFmtId="0" fontId="14" fillId="13" borderId="90" xfId="10" applyFont="1" applyFill="1" applyBorder="1" applyAlignment="1" applyProtection="1">
      <alignment horizontal="center" vertical="center" wrapText="1"/>
    </xf>
    <xf numFmtId="0" fontId="33" fillId="13" borderId="82" xfId="10" applyFont="1" applyFill="1" applyBorder="1" applyAlignment="1" applyProtection="1">
      <alignment horizontal="center" vertical="center" wrapText="1"/>
    </xf>
    <xf numFmtId="0" fontId="79" fillId="13" borderId="91" xfId="10" applyFont="1" applyFill="1" applyBorder="1" applyAlignment="1" applyProtection="1">
      <alignment horizontal="center" vertical="center" wrapText="1"/>
    </xf>
    <xf numFmtId="0" fontId="40" fillId="13" borderId="68" xfId="10" applyFont="1" applyFill="1" applyBorder="1" applyAlignment="1" applyProtection="1">
      <alignment vertical="center"/>
    </xf>
    <xf numFmtId="0" fontId="40" fillId="13" borderId="69" xfId="10" applyFont="1" applyFill="1" applyBorder="1" applyAlignment="1" applyProtection="1">
      <alignment vertical="center"/>
    </xf>
    <xf numFmtId="2" fontId="61" fillId="13" borderId="109" xfId="10" applyNumberFormat="1" applyFont="1" applyFill="1" applyBorder="1" applyAlignment="1" applyProtection="1">
      <alignment horizontal="right" vertical="center"/>
    </xf>
    <xf numFmtId="2" fontId="61" fillId="13" borderId="110" xfId="10" applyNumberFormat="1" applyFont="1" applyFill="1" applyBorder="1" applyAlignment="1" applyProtection="1">
      <alignment horizontal="right" vertical="center"/>
    </xf>
    <xf numFmtId="0" fontId="79" fillId="13" borderId="90" xfId="10" applyFont="1" applyFill="1" applyBorder="1" applyAlignment="1" applyProtection="1">
      <alignment horizontal="center" vertical="center" wrapText="1"/>
    </xf>
    <xf numFmtId="0" fontId="79" fillId="13" borderId="0" xfId="10" applyFont="1" applyFill="1" applyBorder="1" applyAlignment="1" applyProtection="1">
      <alignment horizontal="center" vertical="center" wrapText="1"/>
    </xf>
    <xf numFmtId="0" fontId="39" fillId="12" borderId="68" xfId="10" applyFont="1" applyFill="1" applyBorder="1" applyProtection="1"/>
    <xf numFmtId="0" fontId="84" fillId="0" borderId="4" xfId="10" applyFont="1" applyFill="1" applyBorder="1" applyAlignment="1" applyProtection="1">
      <alignment vertical="center"/>
    </xf>
    <xf numFmtId="0" fontId="61" fillId="0" borderId="4" xfId="10" applyFont="1" applyFill="1" applyBorder="1" applyAlignment="1" applyProtection="1">
      <alignment horizontal="left" vertical="center"/>
    </xf>
    <xf numFmtId="0" fontId="79" fillId="13" borderId="82" xfId="10" applyFont="1" applyFill="1" applyBorder="1" applyAlignment="1" applyProtection="1">
      <alignment horizontal="center" vertical="center" wrapText="1"/>
    </xf>
    <xf numFmtId="49" fontId="92" fillId="0" borderId="75" xfId="10" applyNumberFormat="1" applyFont="1" applyFill="1" applyBorder="1" applyProtection="1"/>
    <xf numFmtId="0" fontId="2" fillId="0" borderId="89" xfId="10" applyFont="1" applyBorder="1" applyAlignment="1" applyProtection="1"/>
    <xf numFmtId="0" fontId="2" fillId="0" borderId="61" xfId="10" applyFont="1" applyBorder="1" applyAlignment="1" applyProtection="1"/>
    <xf numFmtId="0" fontId="14" fillId="0" borderId="61" xfId="10" applyFont="1" applyBorder="1" applyAlignment="1" applyProtection="1">
      <alignment horizontal="center"/>
    </xf>
    <xf numFmtId="0" fontId="2" fillId="0" borderId="62" xfId="10" applyFont="1" applyBorder="1" applyAlignment="1" applyProtection="1"/>
    <xf numFmtId="2" fontId="61" fillId="13" borderId="98" xfId="10" applyNumberFormat="1" applyFont="1" applyFill="1" applyBorder="1" applyAlignment="1" applyProtection="1">
      <alignment horizontal="right" vertical="center"/>
    </xf>
    <xf numFmtId="49" fontId="92" fillId="0" borderId="75" xfId="10" applyNumberFormat="1" applyFont="1" applyBorder="1" applyProtection="1"/>
    <xf numFmtId="0" fontId="33" fillId="0" borderId="61" xfId="10" applyFont="1" applyBorder="1" applyAlignment="1" applyProtection="1">
      <alignment horizontal="center" wrapText="1"/>
    </xf>
    <xf numFmtId="0" fontId="44" fillId="13" borderId="70" xfId="10" applyFont="1" applyFill="1" applyBorder="1" applyAlignment="1" applyProtection="1">
      <alignment horizontal="right" vertical="center"/>
    </xf>
    <xf numFmtId="2" fontId="61" fillId="13" borderId="97" xfId="10" applyNumberFormat="1" applyFont="1" applyFill="1" applyBorder="1" applyAlignment="1" applyProtection="1">
      <alignment horizontal="right" vertical="center"/>
    </xf>
    <xf numFmtId="0" fontId="79" fillId="0" borderId="0" xfId="10" applyFont="1" applyAlignment="1" applyProtection="1"/>
    <xf numFmtId="0" fontId="79" fillId="0" borderId="0" xfId="10" applyFont="1" applyAlignment="1" applyProtection="1">
      <protection locked="0"/>
    </xf>
    <xf numFmtId="0" fontId="44" fillId="4" borderId="5" xfId="10" applyFont="1" applyFill="1" applyBorder="1" applyAlignment="1" applyProtection="1">
      <alignment horizontal="left"/>
    </xf>
    <xf numFmtId="0" fontId="40" fillId="4" borderId="6" xfId="10" applyFont="1" applyFill="1" applyBorder="1" applyProtection="1"/>
    <xf numFmtId="0" fontId="40" fillId="4" borderId="6" xfId="10" applyFont="1" applyFill="1" applyBorder="1" applyAlignment="1" applyProtection="1">
      <alignment horizontal="center"/>
    </xf>
    <xf numFmtId="0" fontId="62" fillId="4" borderId="6" xfId="10" applyFont="1" applyFill="1" applyBorder="1" applyAlignment="1" applyProtection="1">
      <alignment horizontal="center" wrapText="1"/>
    </xf>
    <xf numFmtId="0" fontId="40" fillId="4" borderId="6" xfId="10" applyFont="1" applyFill="1" applyBorder="1" applyAlignment="1" applyProtection="1">
      <alignment horizontal="center" wrapText="1"/>
    </xf>
    <xf numFmtId="0" fontId="63" fillId="4" borderId="7" xfId="10" applyFont="1" applyFill="1" applyBorder="1" applyAlignment="1" applyProtection="1">
      <alignment horizontal="center" wrapText="1"/>
    </xf>
    <xf numFmtId="0" fontId="101" fillId="0" borderId="75" xfId="10" applyFont="1" applyBorder="1" applyProtection="1"/>
    <xf numFmtId="0" fontId="114" fillId="0" borderId="89" xfId="10" applyFont="1" applyBorder="1" applyAlignment="1" applyProtection="1"/>
    <xf numFmtId="0" fontId="2" fillId="0" borderId="63" xfId="10" applyFont="1" applyBorder="1" applyAlignment="1" applyProtection="1"/>
    <xf numFmtId="2" fontId="28" fillId="12" borderId="71" xfId="10" applyNumberFormat="1" applyFont="1" applyFill="1" applyBorder="1" applyAlignment="1" applyProtection="1"/>
    <xf numFmtId="2" fontId="28" fillId="12" borderId="72" xfId="10" applyNumberFormat="1" applyFont="1" applyFill="1" applyBorder="1" applyAlignment="1" applyProtection="1"/>
    <xf numFmtId="2" fontId="28" fillId="0" borderId="1" xfId="10" applyNumberFormat="1" applyFont="1" applyFill="1" applyBorder="1" applyAlignment="1" applyProtection="1"/>
    <xf numFmtId="2" fontId="28" fillId="0" borderId="10" xfId="10" applyNumberFormat="1" applyFont="1" applyFill="1" applyBorder="1" applyAlignment="1" applyProtection="1"/>
    <xf numFmtId="0" fontId="40" fillId="13" borderId="5" xfId="10" applyFont="1" applyFill="1" applyBorder="1" applyAlignment="1" applyProtection="1">
      <alignment vertical="center"/>
    </xf>
    <xf numFmtId="0" fontId="44" fillId="13" borderId="6" xfId="10" applyFont="1" applyFill="1" applyBorder="1" applyAlignment="1" applyProtection="1">
      <alignment horizontal="right" vertical="center"/>
    </xf>
    <xf numFmtId="2" fontId="61" fillId="13" borderId="11" xfId="10" applyNumberFormat="1" applyFont="1" applyFill="1" applyBorder="1" applyAlignment="1" applyProtection="1">
      <alignment horizontal="right" vertical="center"/>
    </xf>
    <xf numFmtId="0" fontId="90" fillId="0" borderId="0" xfId="10" applyFont="1" applyFill="1" applyBorder="1" applyAlignment="1" applyProtection="1">
      <alignment vertical="center"/>
    </xf>
    <xf numFmtId="0" fontId="100" fillId="0" borderId="0" xfId="10" applyFont="1" applyFill="1" applyBorder="1" applyAlignment="1" applyProtection="1">
      <alignment horizontal="right" vertical="center"/>
    </xf>
    <xf numFmtId="2" fontId="100" fillId="0" borderId="0" xfId="10" applyNumberFormat="1" applyFont="1" applyFill="1" applyBorder="1" applyAlignment="1" applyProtection="1">
      <alignment horizontal="right" vertical="center"/>
    </xf>
    <xf numFmtId="0" fontId="90" fillId="0" borderId="0" xfId="10" applyFont="1" applyFill="1" applyAlignment="1" applyProtection="1"/>
    <xf numFmtId="0" fontId="90" fillId="0" borderId="0" xfId="10" applyFont="1" applyFill="1" applyAlignment="1" applyProtection="1">
      <protection locked="0"/>
    </xf>
    <xf numFmtId="0" fontId="115" fillId="17" borderId="6" xfId="10" applyFont="1" applyFill="1" applyBorder="1" applyProtection="1"/>
    <xf numFmtId="0" fontId="115" fillId="17" borderId="6" xfId="10" applyFont="1" applyFill="1" applyBorder="1" applyAlignment="1" applyProtection="1">
      <alignment horizontal="center"/>
    </xf>
    <xf numFmtId="0" fontId="115" fillId="17" borderId="6" xfId="10" applyFont="1" applyFill="1" applyBorder="1" applyAlignment="1" applyProtection="1">
      <alignment horizontal="center" wrapText="1"/>
    </xf>
    <xf numFmtId="0" fontId="115" fillId="17" borderId="7" xfId="10" applyFont="1" applyFill="1" applyBorder="1" applyAlignment="1" applyProtection="1">
      <alignment horizontal="center" wrapText="1"/>
    </xf>
    <xf numFmtId="0" fontId="40" fillId="0" borderId="12" xfId="10" applyFont="1" applyBorder="1" applyProtection="1"/>
    <xf numFmtId="0" fontId="40" fillId="0" borderId="0" xfId="10" applyFont="1" applyBorder="1" applyProtection="1">
      <protection locked="0"/>
    </xf>
    <xf numFmtId="0" fontId="14" fillId="13" borderId="92" xfId="10" applyFont="1" applyFill="1" applyBorder="1" applyAlignment="1" applyProtection="1">
      <alignment horizontal="center"/>
    </xf>
    <xf numFmtId="0" fontId="28" fillId="13" borderId="95" xfId="10" applyFont="1" applyFill="1" applyBorder="1" applyAlignment="1" applyProtection="1">
      <alignment horizontal="center" vertical="center"/>
    </xf>
    <xf numFmtId="0" fontId="28" fillId="13" borderId="96" xfId="10" applyFont="1" applyFill="1" applyBorder="1" applyAlignment="1" applyProtection="1">
      <alignment horizontal="center" vertical="center"/>
    </xf>
    <xf numFmtId="0" fontId="2" fillId="0" borderId="0" xfId="10" applyFont="1" applyFill="1" applyBorder="1" applyAlignment="1" applyProtection="1">
      <alignment horizontal="center"/>
    </xf>
    <xf numFmtId="0" fontId="58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>
      <alignment vertical="center"/>
    </xf>
    <xf numFmtId="0" fontId="28" fillId="0" borderId="1" xfId="10" applyFont="1" applyFill="1" applyBorder="1" applyAlignment="1" applyProtection="1">
      <alignment horizontal="right" vertical="center"/>
    </xf>
    <xf numFmtId="2" fontId="28" fillId="0" borderId="1" xfId="10" applyNumberFormat="1" applyFont="1" applyFill="1" applyBorder="1" applyAlignment="1" applyProtection="1">
      <alignment horizontal="right" vertical="center"/>
    </xf>
    <xf numFmtId="0" fontId="2" fillId="12" borderId="79" xfId="10" applyFont="1" applyFill="1" applyBorder="1" applyProtection="1"/>
    <xf numFmtId="0" fontId="28" fillId="12" borderId="125" xfId="10" applyFont="1" applyFill="1" applyBorder="1" applyAlignment="1" applyProtection="1">
      <alignment horizontal="right"/>
    </xf>
    <xf numFmtId="0" fontId="28" fillId="12" borderId="70" xfId="10" applyFont="1" applyFill="1" applyBorder="1" applyAlignment="1" applyProtection="1">
      <alignment horizontal="right"/>
    </xf>
    <xf numFmtId="0" fontId="2" fillId="12" borderId="71" xfId="10" applyFont="1" applyFill="1" applyBorder="1" applyAlignment="1" applyProtection="1"/>
    <xf numFmtId="0" fontId="111" fillId="12" borderId="71" xfId="10" applyFont="1" applyFill="1" applyBorder="1" applyAlignment="1" applyProtection="1">
      <alignment horizontal="center"/>
    </xf>
    <xf numFmtId="0" fontId="14" fillId="13" borderId="88" xfId="10" applyFont="1" applyFill="1" applyBorder="1" applyAlignment="1" applyProtection="1">
      <alignment vertical="center" wrapText="1"/>
    </xf>
    <xf numFmtId="0" fontId="14" fillId="13" borderId="51" xfId="10" applyFont="1" applyFill="1" applyBorder="1" applyAlignment="1" applyProtection="1">
      <alignment vertical="center" wrapText="1"/>
    </xf>
    <xf numFmtId="0" fontId="14" fillId="13" borderId="91" xfId="10" applyFont="1" applyFill="1" applyBorder="1" applyAlignment="1" applyProtection="1">
      <alignment vertical="center" wrapText="1"/>
    </xf>
    <xf numFmtId="0" fontId="2" fillId="0" borderId="89" xfId="10" applyFont="1" applyBorder="1" applyAlignment="1" applyProtection="1">
      <protection locked="0"/>
    </xf>
    <xf numFmtId="0" fontId="29" fillId="0" borderId="4" xfId="10" applyFont="1" applyFill="1" applyBorder="1" applyProtection="1"/>
    <xf numFmtId="2" fontId="103" fillId="12" borderId="52" xfId="10" applyNumberFormat="1" applyFont="1" applyFill="1" applyBorder="1" applyAlignment="1" applyProtection="1">
      <alignment horizontal="right"/>
    </xf>
    <xf numFmtId="0" fontId="87" fillId="13" borderId="69" xfId="10" applyFont="1" applyFill="1" applyBorder="1" applyAlignment="1" applyProtection="1">
      <alignment vertical="center"/>
    </xf>
    <xf numFmtId="0" fontId="64" fillId="13" borderId="69" xfId="10" applyFont="1" applyFill="1" applyBorder="1" applyAlignment="1" applyProtection="1">
      <alignment vertical="center"/>
    </xf>
    <xf numFmtId="0" fontId="108" fillId="13" borderId="69" xfId="10" applyFont="1" applyFill="1" applyBorder="1" applyAlignment="1" applyProtection="1">
      <alignment vertical="center"/>
    </xf>
    <xf numFmtId="0" fontId="14" fillId="13" borderId="66" xfId="10" applyFont="1" applyFill="1" applyBorder="1" applyAlignment="1" applyProtection="1">
      <alignment horizontal="center"/>
    </xf>
    <xf numFmtId="190" fontId="2" fillId="0" borderId="0" xfId="10" applyNumberFormat="1" applyFont="1" applyProtection="1">
      <protection locked="0"/>
    </xf>
    <xf numFmtId="0" fontId="14" fillId="13" borderId="87" xfId="10" applyFont="1" applyFill="1" applyBorder="1" applyAlignment="1" applyProtection="1">
      <alignment vertical="center" wrapText="1"/>
    </xf>
    <xf numFmtId="190" fontId="14" fillId="0" borderId="61" xfId="10" applyNumberFormat="1" applyFont="1" applyBorder="1" applyAlignment="1" applyProtection="1">
      <alignment horizontal="center"/>
    </xf>
    <xf numFmtId="0" fontId="41" fillId="0" borderId="0" xfId="10" applyFont="1" applyBorder="1" applyProtection="1"/>
    <xf numFmtId="0" fontId="110" fillId="0" borderId="0" xfId="10" applyFont="1" applyBorder="1" applyProtection="1"/>
    <xf numFmtId="0" fontId="97" fillId="0" borderId="0" xfId="10" applyFont="1" applyProtection="1"/>
    <xf numFmtId="0" fontId="116" fillId="0" borderId="0" xfId="10" applyFont="1" applyProtection="1"/>
    <xf numFmtId="0" fontId="79" fillId="0" borderId="0" xfId="10" applyFont="1" applyProtection="1"/>
    <xf numFmtId="0" fontId="14" fillId="13" borderId="2" xfId="10" applyFont="1" applyFill="1" applyBorder="1" applyAlignment="1" applyProtection="1">
      <alignment horizontal="center" vertical="center" wrapText="1"/>
    </xf>
    <xf numFmtId="0" fontId="14" fillId="13" borderId="22" xfId="10" applyFont="1" applyFill="1" applyBorder="1" applyAlignment="1" applyProtection="1">
      <alignment vertical="center" wrapText="1"/>
    </xf>
    <xf numFmtId="0" fontId="14" fillId="13" borderId="99" xfId="10" applyFont="1" applyFill="1" applyBorder="1" applyAlignment="1" applyProtection="1">
      <alignment vertical="center" wrapText="1"/>
    </xf>
    <xf numFmtId="0" fontId="14" fillId="13" borderId="97" xfId="10" applyFont="1" applyFill="1" applyBorder="1" applyAlignment="1" applyProtection="1">
      <alignment horizontal="center" vertical="center" wrapText="1"/>
    </xf>
    <xf numFmtId="0" fontId="28" fillId="13" borderId="97" xfId="10" applyFont="1" applyFill="1" applyBorder="1" applyAlignment="1" applyProtection="1">
      <alignment horizontal="center" vertical="center" wrapText="1"/>
    </xf>
    <xf numFmtId="0" fontId="28" fillId="13" borderId="98" xfId="10" applyFont="1" applyFill="1" applyBorder="1" applyAlignment="1" applyProtection="1">
      <alignment horizontal="center" vertical="center" wrapText="1"/>
    </xf>
    <xf numFmtId="0" fontId="117" fillId="0" borderId="2" xfId="10" applyFont="1" applyFill="1" applyBorder="1" applyAlignment="1" applyProtection="1">
      <alignment horizontal="center"/>
    </xf>
    <xf numFmtId="0" fontId="117" fillId="0" borderId="74" xfId="10" applyFont="1" applyFill="1" applyBorder="1" applyAlignment="1" applyProtection="1">
      <alignment horizontal="left"/>
    </xf>
    <xf numFmtId="0" fontId="2" fillId="0" borderId="56" xfId="10" applyFont="1" applyBorder="1" applyAlignment="1" applyProtection="1"/>
    <xf numFmtId="0" fontId="2" fillId="0" borderId="56" xfId="10" applyFont="1" applyBorder="1" applyAlignment="1" applyProtection="1">
      <alignment horizontal="center"/>
    </xf>
    <xf numFmtId="0" fontId="2" fillId="18" borderId="56" xfId="10" applyFont="1" applyFill="1" applyBorder="1" applyAlignment="1" applyProtection="1"/>
    <xf numFmtId="0" fontId="2" fillId="18" borderId="57" xfId="10" applyFont="1" applyFill="1" applyBorder="1" applyAlignment="1" applyProtection="1"/>
    <xf numFmtId="0" fontId="2" fillId="0" borderId="22" xfId="10" applyFont="1" applyBorder="1" applyAlignment="1" applyProtection="1"/>
    <xf numFmtId="0" fontId="2" fillId="0" borderId="61" xfId="10" applyFont="1" applyBorder="1" applyProtection="1">
      <protection locked="0"/>
    </xf>
    <xf numFmtId="0" fontId="2" fillId="0" borderId="8" xfId="10" applyFont="1" applyBorder="1" applyAlignment="1" applyProtection="1"/>
    <xf numFmtId="0" fontId="14" fillId="12" borderId="125" xfId="10" applyFont="1" applyFill="1" applyBorder="1" applyAlignment="1" applyProtection="1">
      <alignment horizontal="right"/>
      <protection locked="0"/>
    </xf>
    <xf numFmtId="0" fontId="28" fillId="12" borderId="69" xfId="10" applyFont="1" applyFill="1" applyBorder="1" applyAlignment="1" applyProtection="1">
      <alignment horizontal="center"/>
      <protection locked="0"/>
    </xf>
    <xf numFmtId="0" fontId="2" fillId="0" borderId="61" xfId="10" applyFont="1" applyBorder="1" applyProtection="1"/>
    <xf numFmtId="0" fontId="14" fillId="12" borderId="125" xfId="10" applyFont="1" applyFill="1" applyBorder="1" applyAlignment="1" applyProtection="1">
      <alignment horizontal="right"/>
    </xf>
    <xf numFmtId="0" fontId="2" fillId="0" borderId="61" xfId="10" applyFont="1" applyBorder="1" applyAlignment="1" applyProtection="1">
      <alignment horizontal="center"/>
    </xf>
    <xf numFmtId="0" fontId="117" fillId="0" borderId="78" xfId="10" applyFont="1" applyFill="1" applyBorder="1" applyAlignment="1" applyProtection="1">
      <alignment horizontal="left"/>
    </xf>
    <xf numFmtId="0" fontId="2" fillId="0" borderId="63" xfId="10" applyFont="1" applyBorder="1" applyAlignment="1" applyProtection="1">
      <alignment horizontal="center"/>
    </xf>
    <xf numFmtId="0" fontId="2" fillId="18" borderId="63" xfId="10" applyFont="1" applyFill="1" applyBorder="1" applyAlignment="1" applyProtection="1"/>
    <xf numFmtId="0" fontId="2" fillId="18" borderId="64" xfId="10" applyFont="1" applyFill="1" applyBorder="1" applyAlignment="1" applyProtection="1"/>
    <xf numFmtId="0" fontId="46" fillId="17" borderId="5" xfId="10" applyFont="1" applyFill="1" applyBorder="1" applyAlignment="1" applyProtection="1">
      <alignment horizontal="center" vertical="center"/>
    </xf>
    <xf numFmtId="0" fontId="40" fillId="17" borderId="6" xfId="10" applyFont="1" applyFill="1" applyBorder="1" applyAlignment="1" applyProtection="1">
      <alignment vertical="center"/>
    </xf>
    <xf numFmtId="0" fontId="40" fillId="17" borderId="7" xfId="10" applyFont="1" applyFill="1" applyBorder="1" applyAlignment="1" applyProtection="1">
      <alignment horizontal="center" vertical="center" wrapText="1"/>
    </xf>
    <xf numFmtId="0" fontId="14" fillId="13" borderId="0" xfId="10" applyFont="1" applyFill="1" applyBorder="1" applyAlignment="1" applyProtection="1">
      <alignment vertical="center" wrapText="1"/>
    </xf>
    <xf numFmtId="0" fontId="2" fillId="0" borderId="81" xfId="10" applyFont="1" applyBorder="1" applyAlignment="1" applyProtection="1"/>
    <xf numFmtId="0" fontId="2" fillId="18" borderId="60" xfId="10" applyFont="1" applyFill="1" applyBorder="1" applyProtection="1"/>
    <xf numFmtId="187" fontId="58" fillId="18" borderId="61" xfId="10" applyNumberFormat="1" applyFont="1" applyFill="1" applyBorder="1" applyAlignment="1" applyProtection="1">
      <alignment horizontal="center"/>
    </xf>
    <xf numFmtId="0" fontId="2" fillId="15" borderId="68" xfId="10" applyFont="1" applyFill="1" applyBorder="1" applyAlignment="1" applyProtection="1"/>
    <xf numFmtId="0" fontId="2" fillId="12" borderId="69" xfId="10" applyFont="1" applyFill="1" applyBorder="1" applyProtection="1"/>
    <xf numFmtId="0" fontId="14" fillId="13" borderId="94" xfId="10" applyFont="1" applyFill="1" applyBorder="1" applyAlignment="1" applyProtection="1">
      <alignment horizontal="center" vertical="center" wrapText="1"/>
    </xf>
    <xf numFmtId="0" fontId="117" fillId="0" borderId="79" xfId="10" applyFont="1" applyFill="1" applyBorder="1" applyAlignment="1" applyProtection="1">
      <alignment horizontal="center"/>
    </xf>
    <xf numFmtId="0" fontId="78" fillId="0" borderId="71" xfId="10" applyFont="1" applyFill="1" applyBorder="1" applyAlignment="1" applyProtection="1">
      <alignment horizontal="left" vertical="center"/>
    </xf>
    <xf numFmtId="0" fontId="14" fillId="0" borderId="71" xfId="10" applyFont="1" applyBorder="1" applyAlignment="1" applyProtection="1">
      <alignment vertical="center"/>
    </xf>
    <xf numFmtId="0" fontId="2" fillId="0" borderId="71" xfId="10" applyFont="1" applyBorder="1" applyAlignment="1" applyProtection="1">
      <alignment horizontal="center" vertical="center"/>
      <protection locked="0"/>
    </xf>
    <xf numFmtId="0" fontId="28" fillId="18" borderId="71" xfId="10" applyFont="1" applyFill="1" applyBorder="1" applyAlignment="1" applyProtection="1">
      <alignment horizontal="center" vertical="center"/>
    </xf>
    <xf numFmtId="2" fontId="28" fillId="18" borderId="72" xfId="10" applyNumberFormat="1" applyFont="1" applyFill="1" applyBorder="1" applyAlignment="1" applyProtection="1">
      <alignment horizontal="right" vertical="center"/>
    </xf>
    <xf numFmtId="0" fontId="112" fillId="17" borderId="6" xfId="10" applyFont="1" applyFill="1" applyBorder="1" applyAlignment="1" applyProtection="1">
      <alignment horizontal="left" vertical="center"/>
    </xf>
    <xf numFmtId="0" fontId="14" fillId="13" borderId="67" xfId="10" applyFont="1" applyFill="1" applyBorder="1" applyAlignment="1" applyProtection="1">
      <alignment vertical="center" wrapText="1"/>
    </xf>
    <xf numFmtId="0" fontId="14" fillId="13" borderId="63" xfId="10" applyFont="1" applyFill="1" applyBorder="1" applyAlignment="1" applyProtection="1">
      <alignment vertical="center" wrapText="1"/>
    </xf>
    <xf numFmtId="0" fontId="117" fillId="0" borderId="81" xfId="10" applyFont="1" applyFill="1" applyBorder="1" applyAlignment="1" applyProtection="1">
      <alignment horizontal="center"/>
    </xf>
    <xf numFmtId="0" fontId="101" fillId="0" borderId="91" xfId="10" applyFont="1" applyBorder="1" applyProtection="1"/>
    <xf numFmtId="0" fontId="102" fillId="0" borderId="91" xfId="10" applyFont="1" applyBorder="1" applyProtection="1"/>
    <xf numFmtId="0" fontId="14" fillId="0" borderId="63" xfId="10" applyFont="1" applyBorder="1" applyAlignment="1" applyProtection="1">
      <alignment horizontal="center"/>
    </xf>
    <xf numFmtId="0" fontId="2" fillId="0" borderId="78" xfId="10" applyFont="1" applyBorder="1" applyAlignment="1" applyProtection="1"/>
    <xf numFmtId="0" fontId="2" fillId="0" borderId="92" xfId="10" applyFont="1" applyBorder="1" applyAlignment="1" applyProtection="1"/>
    <xf numFmtId="0" fontId="101" fillId="0" borderId="55" xfId="10" applyFont="1" applyFill="1" applyBorder="1" applyProtection="1"/>
    <xf numFmtId="0" fontId="102" fillId="0" borderId="55" xfId="10" applyFont="1" applyFill="1" applyBorder="1" applyProtection="1"/>
    <xf numFmtId="1" fontId="58" fillId="18" borderId="56" xfId="10" applyNumberFormat="1" applyFont="1" applyFill="1" applyBorder="1" applyAlignment="1" applyProtection="1">
      <alignment horizontal="center"/>
    </xf>
    <xf numFmtId="2" fontId="58" fillId="18" borderId="56" xfId="10" applyNumberFormat="1" applyFont="1" applyFill="1" applyBorder="1" applyAlignment="1" applyProtection="1">
      <alignment horizontal="center"/>
    </xf>
    <xf numFmtId="2" fontId="58" fillId="18" borderId="57" xfId="10" applyNumberFormat="1" applyFont="1" applyFill="1" applyBorder="1" applyAlignment="1" applyProtection="1">
      <alignment horizontal="center"/>
    </xf>
    <xf numFmtId="0" fontId="2" fillId="12" borderId="70" xfId="10" applyFont="1" applyFill="1" applyBorder="1" applyProtection="1"/>
    <xf numFmtId="0" fontId="61" fillId="13" borderId="6" xfId="10" applyFont="1" applyFill="1" applyBorder="1" applyAlignment="1" applyProtection="1">
      <alignment horizontal="right" vertical="center"/>
    </xf>
    <xf numFmtId="0" fontId="61" fillId="13" borderId="126" xfId="10" applyFont="1" applyFill="1" applyBorder="1" applyAlignment="1" applyProtection="1">
      <alignment horizontal="center" vertical="center"/>
    </xf>
    <xf numFmtId="0" fontId="44" fillId="13" borderId="109" xfId="10" applyFont="1" applyFill="1" applyBorder="1" applyAlignment="1" applyProtection="1">
      <alignment horizontal="right" vertical="center"/>
    </xf>
    <xf numFmtId="0" fontId="14" fillId="13" borderId="82" xfId="10" applyFont="1" applyFill="1" applyBorder="1" applyAlignment="1" applyProtection="1">
      <alignment vertical="center" wrapText="1"/>
    </xf>
    <xf numFmtId="0" fontId="102" fillId="0" borderId="88" xfId="10" applyFont="1" applyBorder="1" applyProtection="1"/>
    <xf numFmtId="1" fontId="58" fillId="18" borderId="63" xfId="10" applyNumberFormat="1" applyFont="1" applyFill="1" applyBorder="1" applyAlignment="1" applyProtection="1">
      <alignment horizontal="center"/>
    </xf>
    <xf numFmtId="2" fontId="58" fillId="18" borderId="63" xfId="10" applyNumberFormat="1" applyFont="1" applyFill="1" applyBorder="1" applyAlignment="1" applyProtection="1">
      <alignment horizontal="center"/>
    </xf>
    <xf numFmtId="2" fontId="58" fillId="18" borderId="64" xfId="10" applyNumberFormat="1" applyFont="1" applyFill="1" applyBorder="1" applyAlignment="1" applyProtection="1">
      <alignment horizontal="center"/>
    </xf>
    <xf numFmtId="0" fontId="102" fillId="0" borderId="104" xfId="10" applyFont="1" applyFill="1" applyBorder="1" applyProtection="1"/>
    <xf numFmtId="0" fontId="14" fillId="12" borderId="69" xfId="10" applyFont="1" applyFill="1" applyBorder="1" applyAlignment="1" applyProtection="1">
      <alignment horizontal="center"/>
    </xf>
    <xf numFmtId="0" fontId="61" fillId="13" borderId="11" xfId="10" applyFont="1" applyFill="1" applyBorder="1" applyAlignment="1" applyProtection="1">
      <alignment horizontal="center" vertical="center"/>
    </xf>
    <xf numFmtId="0" fontId="44" fillId="13" borderId="126" xfId="10" applyFont="1" applyFill="1" applyBorder="1" applyAlignment="1" applyProtection="1">
      <alignment horizontal="right" vertical="center"/>
    </xf>
    <xf numFmtId="0" fontId="2" fillId="0" borderId="77" xfId="10" applyFont="1" applyBorder="1" applyAlignment="1" applyProtection="1"/>
    <xf numFmtId="0" fontId="2" fillId="18" borderId="61" xfId="10" applyFont="1" applyFill="1" applyBorder="1" applyProtection="1"/>
    <xf numFmtId="0" fontId="14" fillId="12" borderId="69" xfId="10" applyFont="1" applyFill="1" applyBorder="1" applyAlignment="1" applyProtection="1">
      <alignment horizontal="right"/>
    </xf>
    <xf numFmtId="0" fontId="28" fillId="0" borderId="0" xfId="10" applyFont="1" applyFill="1" applyBorder="1" applyAlignment="1" applyProtection="1">
      <alignment horizontal="center"/>
    </xf>
    <xf numFmtId="0" fontId="2" fillId="0" borderId="0" xfId="10" applyFill="1" applyBorder="1" applyProtection="1"/>
    <xf numFmtId="0" fontId="112" fillId="17" borderId="7" xfId="10" applyFont="1" applyFill="1" applyBorder="1" applyAlignment="1" applyProtection="1">
      <alignment horizontal="left" vertical="center"/>
    </xf>
    <xf numFmtId="0" fontId="112" fillId="0" borderId="0" xfId="10" applyFont="1" applyFill="1" applyBorder="1" applyAlignment="1" applyProtection="1">
      <alignment horizontal="left" vertical="center"/>
    </xf>
    <xf numFmtId="0" fontId="28" fillId="13" borderId="94" xfId="10" applyFont="1" applyFill="1" applyBorder="1" applyAlignment="1" applyProtection="1">
      <alignment horizontal="center"/>
    </xf>
    <xf numFmtId="0" fontId="28" fillId="0" borderId="0" xfId="10" applyFont="1" applyFill="1" applyBorder="1" applyAlignment="1" applyProtection="1">
      <alignment horizontal="center" vertical="center" wrapText="1"/>
    </xf>
    <xf numFmtId="1" fontId="58" fillId="18" borderId="60" xfId="10" applyNumberFormat="1" applyFont="1" applyFill="1" applyBorder="1" applyAlignment="1" applyProtection="1">
      <alignment horizontal="center"/>
    </xf>
    <xf numFmtId="1" fontId="58" fillId="18" borderId="62" xfId="10" applyNumberFormat="1" applyFont="1" applyFill="1" applyBorder="1" applyAlignment="1" applyProtection="1">
      <alignment horizontal="center"/>
    </xf>
    <xf numFmtId="2" fontId="58" fillId="0" borderId="0" xfId="10" applyNumberFormat="1" applyFont="1" applyFill="1" applyBorder="1" applyAlignment="1" applyProtection="1">
      <alignment horizontal="center"/>
    </xf>
    <xf numFmtId="1" fontId="28" fillId="12" borderId="72" xfId="10" applyNumberFormat="1" applyFont="1" applyFill="1" applyBorder="1" applyAlignment="1" applyProtection="1">
      <alignment horizontal="center"/>
    </xf>
    <xf numFmtId="0" fontId="17" fillId="0" borderId="0" xfId="8" applyFont="1"/>
    <xf numFmtId="0" fontId="17" fillId="0" borderId="0" xfId="8" applyFont="1" applyAlignment="1">
      <alignment horizontal="center"/>
    </xf>
    <xf numFmtId="0" fontId="2" fillId="0" borderId="0" xfId="9" applyFont="1" applyAlignment="1" applyProtection="1">
      <alignment vertical="center"/>
    </xf>
    <xf numFmtId="0" fontId="27" fillId="0" borderId="52" xfId="9" applyFont="1" applyFill="1" applyBorder="1" applyAlignment="1" applyProtection="1">
      <alignment horizontal="left" vertical="center"/>
    </xf>
    <xf numFmtId="2" fontId="2" fillId="0" borderId="61" xfId="9" applyNumberFormat="1" applyFont="1" applyFill="1" applyBorder="1" applyAlignment="1" applyProtection="1">
      <alignment horizontal="center" wrapText="1"/>
    </xf>
    <xf numFmtId="0" fontId="14" fillId="13" borderId="93" xfId="10" applyFont="1" applyFill="1" applyBorder="1" applyAlignment="1" applyProtection="1">
      <alignment horizontal="center" vertical="center" wrapText="1"/>
    </xf>
    <xf numFmtId="0" fontId="14" fillId="13" borderId="4" xfId="10" applyFont="1" applyFill="1" applyBorder="1" applyAlignment="1" applyProtection="1">
      <alignment horizontal="center" vertical="center" wrapText="1"/>
    </xf>
    <xf numFmtId="2" fontId="51" fillId="0" borderId="8" xfId="9" applyNumberFormat="1" applyFont="1" applyFill="1" applyBorder="1" applyAlignment="1" applyProtection="1">
      <alignment horizontal="center" vertical="center"/>
    </xf>
    <xf numFmtId="2" fontId="51" fillId="0" borderId="11" xfId="9" applyNumberFormat="1" applyFont="1" applyFill="1" applyBorder="1" applyAlignment="1" applyProtection="1">
      <alignment horizontal="center" vertical="center"/>
    </xf>
    <xf numFmtId="4" fontId="56" fillId="0" borderId="14" xfId="9" applyNumberFormat="1" applyFont="1" applyBorder="1" applyAlignment="1" applyProtection="1">
      <alignment horizontal="center" vertical="center"/>
    </xf>
    <xf numFmtId="4" fontId="56" fillId="0" borderId="24" xfId="9" applyNumberFormat="1" applyFont="1" applyBorder="1" applyAlignment="1" applyProtection="1">
      <alignment horizontal="center" vertical="center"/>
    </xf>
    <xf numFmtId="4" fontId="56" fillId="0" borderId="28" xfId="9" applyNumberFormat="1" applyFont="1" applyBorder="1" applyAlignment="1" applyProtection="1">
      <alignment horizontal="center" vertical="center"/>
    </xf>
    <xf numFmtId="0" fontId="27" fillId="0" borderId="17" xfId="9" applyFont="1" applyBorder="1" applyAlignment="1" applyProtection="1">
      <alignment horizontal="center" vertical="center"/>
    </xf>
    <xf numFmtId="0" fontId="27" fillId="0" borderId="26" xfId="9" applyFont="1" applyBorder="1" applyAlignment="1" applyProtection="1">
      <alignment horizontal="center" vertical="center"/>
    </xf>
    <xf numFmtId="0" fontId="27" fillId="0" borderId="30" xfId="9" applyFont="1" applyBorder="1" applyAlignment="1" applyProtection="1">
      <alignment horizontal="center" vertical="center"/>
    </xf>
    <xf numFmtId="0" fontId="35" fillId="0" borderId="0" xfId="9" applyFont="1" applyProtection="1"/>
    <xf numFmtId="4" fontId="51" fillId="0" borderId="11" xfId="9" applyNumberFormat="1" applyFont="1" applyBorder="1" applyAlignment="1" applyProtection="1">
      <alignment horizontal="center" vertical="center"/>
    </xf>
    <xf numFmtId="0" fontId="2" fillId="13" borderId="63" xfId="10" applyFont="1" applyFill="1" applyBorder="1" applyAlignment="1" applyProtection="1">
      <alignment horizontal="center"/>
    </xf>
    <xf numFmtId="0" fontId="71" fillId="3" borderId="61" xfId="10" applyFont="1" applyFill="1" applyBorder="1" applyAlignment="1" applyProtection="1">
      <alignment horizontal="center"/>
    </xf>
    <xf numFmtId="0" fontId="2" fillId="0" borderId="63" xfId="10" applyFont="1" applyBorder="1" applyAlignment="1" applyProtection="1">
      <alignment horizontal="center"/>
      <protection locked="0"/>
    </xf>
    <xf numFmtId="0" fontId="2" fillId="0" borderId="0" xfId="1" applyFont="1"/>
    <xf numFmtId="0" fontId="2" fillId="0" borderId="61" xfId="10" applyFont="1" applyBorder="1" applyAlignment="1" applyProtection="1">
      <alignment wrapText="1"/>
      <protection locked="0"/>
    </xf>
    <xf numFmtId="0" fontId="40" fillId="0" borderId="127" xfId="10" applyFont="1" applyBorder="1" applyProtection="1"/>
    <xf numFmtId="0" fontId="2" fillId="0" borderId="127" xfId="10" applyFont="1" applyFill="1" applyBorder="1" applyAlignment="1" applyProtection="1"/>
    <xf numFmtId="0" fontId="40" fillId="0" borderId="0" xfId="10" applyFont="1" applyBorder="1" applyProtection="1"/>
    <xf numFmtId="0" fontId="14" fillId="0" borderId="12" xfId="10" applyFont="1" applyFill="1" applyBorder="1" applyAlignment="1" applyProtection="1">
      <alignment vertical="center" wrapText="1"/>
    </xf>
    <xf numFmtId="0" fontId="14" fillId="0" borderId="63" xfId="10" applyFont="1" applyFill="1" applyBorder="1" applyAlignment="1" applyProtection="1">
      <alignment vertical="center" wrapText="1"/>
    </xf>
    <xf numFmtId="0" fontId="14" fillId="0" borderId="63" xfId="10" applyFont="1" applyFill="1" applyBorder="1" applyAlignment="1" applyProtection="1">
      <alignment horizontal="center" vertical="center" wrapText="1"/>
    </xf>
    <xf numFmtId="0" fontId="28" fillId="0" borderId="63" xfId="10" applyFont="1" applyFill="1" applyBorder="1" applyAlignment="1" applyProtection="1">
      <alignment horizontal="center" vertical="center" wrapText="1"/>
    </xf>
    <xf numFmtId="0" fontId="28" fillId="0" borderId="64" xfId="10" applyFont="1" applyFill="1" applyBorder="1" applyAlignment="1" applyProtection="1">
      <alignment horizontal="center" vertical="center" wrapText="1"/>
    </xf>
    <xf numFmtId="0" fontId="2" fillId="0" borderId="52" xfId="10" applyFont="1" applyBorder="1" applyProtection="1">
      <protection locked="0"/>
    </xf>
    <xf numFmtId="0" fontId="2" fillId="0" borderId="69" xfId="10" applyFont="1" applyBorder="1" applyProtection="1">
      <protection locked="0"/>
    </xf>
    <xf numFmtId="0" fontId="14" fillId="0" borderId="128" xfId="10" applyFont="1" applyFill="1" applyBorder="1" applyAlignment="1" applyProtection="1">
      <alignment vertical="center" wrapText="1"/>
    </xf>
    <xf numFmtId="49" fontId="92" fillId="0" borderId="129" xfId="3" applyNumberFormat="1" applyFont="1" applyFill="1" applyBorder="1" applyProtection="1"/>
    <xf numFmtId="0" fontId="14" fillId="0" borderId="129" xfId="10" applyFont="1" applyFill="1" applyBorder="1" applyAlignment="1" applyProtection="1">
      <alignment horizontal="center" vertical="center" wrapText="1"/>
    </xf>
    <xf numFmtId="0" fontId="28" fillId="0" borderId="129" xfId="10" applyFont="1" applyFill="1" applyBorder="1" applyAlignment="1" applyProtection="1">
      <alignment horizontal="center" vertical="center" wrapText="1"/>
    </xf>
    <xf numFmtId="0" fontId="28" fillId="0" borderId="130" xfId="10" applyFont="1" applyFill="1" applyBorder="1" applyAlignment="1" applyProtection="1">
      <alignment horizontal="center" vertical="center" wrapText="1"/>
    </xf>
    <xf numFmtId="0" fontId="2" fillId="0" borderId="128" xfId="10" applyFont="1" applyBorder="1" applyAlignment="1" applyProtection="1"/>
    <xf numFmtId="0" fontId="2" fillId="18" borderId="129" xfId="10" applyFont="1" applyFill="1" applyBorder="1" applyProtection="1"/>
    <xf numFmtId="0" fontId="2" fillId="0" borderId="129" xfId="10" applyFont="1" applyBorder="1" applyProtection="1">
      <protection locked="0"/>
    </xf>
    <xf numFmtId="0" fontId="2" fillId="0" borderId="129" xfId="10" applyFont="1" applyBorder="1" applyAlignment="1" applyProtection="1">
      <alignment horizontal="center"/>
      <protection locked="0"/>
    </xf>
    <xf numFmtId="2" fontId="58" fillId="18" borderId="129" xfId="10" applyNumberFormat="1" applyFont="1" applyFill="1" applyBorder="1" applyAlignment="1" applyProtection="1">
      <alignment horizontal="center"/>
    </xf>
    <xf numFmtId="2" fontId="58" fillId="18" borderId="130" xfId="10" applyNumberFormat="1" applyFont="1" applyFill="1" applyBorder="1" applyAlignment="1" applyProtection="1">
      <alignment horizontal="center"/>
    </xf>
    <xf numFmtId="0" fontId="14" fillId="0" borderId="129" xfId="10" applyFont="1" applyBorder="1" applyAlignment="1" applyProtection="1">
      <alignment horizontal="center"/>
      <protection locked="0"/>
    </xf>
    <xf numFmtId="0" fontId="2" fillId="0" borderId="131" xfId="10" applyFont="1" applyBorder="1" applyAlignment="1" applyProtection="1"/>
    <xf numFmtId="0" fontId="2" fillId="18" borderId="132" xfId="10" applyFont="1" applyFill="1" applyBorder="1" applyProtection="1"/>
    <xf numFmtId="0" fontId="2" fillId="0" borderId="132" xfId="10" applyFont="1" applyBorder="1" applyProtection="1">
      <protection locked="0"/>
    </xf>
    <xf numFmtId="0" fontId="2" fillId="0" borderId="132" xfId="10" applyFont="1" applyBorder="1" applyAlignment="1" applyProtection="1">
      <alignment horizontal="center"/>
      <protection locked="0"/>
    </xf>
    <xf numFmtId="2" fontId="58" fillId="18" borderId="132" xfId="10" applyNumberFormat="1" applyFont="1" applyFill="1" applyBorder="1" applyAlignment="1" applyProtection="1">
      <alignment horizontal="center"/>
    </xf>
    <xf numFmtId="2" fontId="58" fillId="18" borderId="133" xfId="10" applyNumberFormat="1" applyFont="1" applyFill="1" applyBorder="1" applyAlignment="1" applyProtection="1">
      <alignment horizontal="center"/>
    </xf>
    <xf numFmtId="0" fontId="14" fillId="13" borderId="134" xfId="10" applyFont="1" applyFill="1" applyBorder="1" applyAlignment="1" applyProtection="1">
      <alignment horizontal="center" vertical="center" wrapText="1"/>
    </xf>
    <xf numFmtId="0" fontId="14" fillId="13" borderId="135" xfId="10" applyFont="1" applyFill="1" applyBorder="1" applyAlignment="1" applyProtection="1">
      <alignment horizontal="center" vertical="center" wrapText="1"/>
    </xf>
    <xf numFmtId="0" fontId="14" fillId="13" borderId="136" xfId="10" applyFont="1" applyFill="1" applyBorder="1" applyAlignment="1" applyProtection="1">
      <alignment vertical="center" wrapText="1"/>
    </xf>
    <xf numFmtId="0" fontId="14" fillId="13" borderId="137" xfId="10" applyFont="1" applyFill="1" applyBorder="1" applyAlignment="1" applyProtection="1">
      <alignment vertical="center" wrapText="1"/>
    </xf>
    <xf numFmtId="0" fontId="14" fillId="13" borderId="135" xfId="10" applyFont="1" applyFill="1" applyBorder="1" applyAlignment="1" applyProtection="1">
      <alignment horizontal="center"/>
    </xf>
    <xf numFmtId="0" fontId="28" fillId="13" borderId="135" xfId="10" applyFont="1" applyFill="1" applyBorder="1" applyAlignment="1" applyProtection="1">
      <alignment horizontal="center" vertical="center" wrapText="1"/>
    </xf>
    <xf numFmtId="0" fontId="28" fillId="13" borderId="138" xfId="10" applyFont="1" applyFill="1" applyBorder="1" applyAlignment="1" applyProtection="1">
      <alignment horizontal="center" vertical="center" wrapText="1"/>
    </xf>
    <xf numFmtId="0" fontId="14" fillId="13" borderId="137" xfId="10" applyFont="1" applyFill="1" applyBorder="1" applyAlignment="1" applyProtection="1">
      <alignment horizontal="center" vertical="center" wrapText="1"/>
    </xf>
    <xf numFmtId="0" fontId="28" fillId="13" borderId="137" xfId="10" applyFont="1" applyFill="1" applyBorder="1" applyAlignment="1" applyProtection="1">
      <alignment horizontal="center" vertical="center" wrapText="1"/>
    </xf>
    <xf numFmtId="0" fontId="28" fillId="13" borderId="139" xfId="10" applyFont="1" applyFill="1" applyBorder="1" applyAlignment="1" applyProtection="1">
      <alignment horizontal="center" vertical="center" wrapText="1"/>
    </xf>
    <xf numFmtId="0" fontId="28" fillId="13" borderId="135" xfId="10" applyFont="1" applyFill="1" applyBorder="1" applyAlignment="1" applyProtection="1">
      <alignment horizontal="center" wrapText="1"/>
    </xf>
    <xf numFmtId="0" fontId="14" fillId="13" borderId="140" xfId="10" applyFont="1" applyFill="1" applyBorder="1" applyAlignment="1" applyProtection="1">
      <alignment horizontal="center" vertical="center" wrapText="1"/>
    </xf>
    <xf numFmtId="0" fontId="14" fillId="13" borderId="142" xfId="10" applyFont="1" applyFill="1" applyBorder="1" applyAlignment="1" applyProtection="1">
      <alignment vertical="center" wrapText="1"/>
    </xf>
    <xf numFmtId="0" fontId="14" fillId="13" borderId="143" xfId="10" applyFont="1" applyFill="1" applyBorder="1" applyAlignment="1" applyProtection="1">
      <alignment horizontal="center" vertical="center"/>
    </xf>
    <xf numFmtId="0" fontId="14" fillId="13" borderId="144" xfId="10" applyFont="1" applyFill="1" applyBorder="1" applyAlignment="1" applyProtection="1">
      <alignment horizontal="center" vertical="center"/>
    </xf>
    <xf numFmtId="0" fontId="14" fillId="0" borderId="145" xfId="10" applyFont="1" applyFill="1" applyBorder="1" applyAlignment="1" applyProtection="1">
      <alignment vertical="center" wrapText="1"/>
    </xf>
    <xf numFmtId="0" fontId="14" fillId="0" borderId="117" xfId="10" applyFont="1" applyFill="1" applyBorder="1" applyAlignment="1" applyProtection="1">
      <alignment horizontal="center" vertical="center"/>
    </xf>
    <xf numFmtId="0" fontId="14" fillId="0" borderId="146" xfId="10" applyFont="1" applyFill="1" applyBorder="1" applyAlignment="1" applyProtection="1">
      <alignment horizontal="center" vertical="center"/>
    </xf>
    <xf numFmtId="0" fontId="2" fillId="0" borderId="145" xfId="10" applyFont="1" applyBorder="1" applyProtection="1">
      <protection locked="0"/>
    </xf>
    <xf numFmtId="0" fontId="2" fillId="0" borderId="117" xfId="10" applyFont="1" applyBorder="1" applyProtection="1">
      <protection locked="0"/>
    </xf>
    <xf numFmtId="0" fontId="2" fillId="0" borderId="146" xfId="10" applyFont="1" applyBorder="1" applyProtection="1">
      <protection locked="0"/>
    </xf>
    <xf numFmtId="0" fontId="14" fillId="13" borderId="147" xfId="10" applyFont="1" applyFill="1" applyBorder="1" applyAlignment="1" applyProtection="1">
      <alignment horizontal="center"/>
      <protection locked="0"/>
    </xf>
    <xf numFmtId="0" fontId="14" fillId="13" borderId="140" xfId="10" applyFont="1" applyFill="1" applyBorder="1" applyAlignment="1" applyProtection="1">
      <alignment vertical="center" wrapText="1"/>
    </xf>
    <xf numFmtId="0" fontId="14" fillId="13" borderId="4" xfId="10" applyFont="1" applyFill="1" applyBorder="1" applyAlignment="1" applyProtection="1">
      <alignment vertical="center" wrapText="1"/>
    </xf>
    <xf numFmtId="0" fontId="2" fillId="0" borderId="147" xfId="10" applyFont="1" applyBorder="1" applyAlignment="1" applyProtection="1">
      <alignment horizontal="center"/>
      <protection locked="0"/>
    </xf>
    <xf numFmtId="0" fontId="14" fillId="13" borderId="142" xfId="10" applyFont="1" applyFill="1" applyBorder="1" applyAlignment="1" applyProtection="1">
      <alignment horizontal="center" vertical="center"/>
    </xf>
    <xf numFmtId="0" fontId="2" fillId="0" borderId="131" xfId="1" applyBorder="1"/>
    <xf numFmtId="0" fontId="2" fillId="0" borderId="132" xfId="1" applyFont="1" applyBorder="1"/>
    <xf numFmtId="0" fontId="2" fillId="0" borderId="132" xfId="1" applyBorder="1"/>
    <xf numFmtId="2" fontId="58" fillId="18" borderId="129" xfId="10" applyNumberFormat="1" applyFont="1" applyFill="1" applyBorder="1" applyAlignment="1" applyProtection="1">
      <alignment horizontal="center" vertical="top"/>
    </xf>
    <xf numFmtId="2" fontId="58" fillId="18" borderId="130" xfId="10" applyNumberFormat="1" applyFont="1" applyFill="1" applyBorder="1" applyAlignment="1" applyProtection="1">
      <alignment horizontal="center" vertical="top"/>
    </xf>
    <xf numFmtId="1" fontId="39" fillId="5" borderId="129" xfId="10" applyNumberFormat="1" applyFont="1" applyFill="1" applyBorder="1" applyAlignment="1" applyProtection="1">
      <alignment horizontal="center"/>
    </xf>
    <xf numFmtId="1" fontId="39" fillId="5" borderId="129" xfId="10" applyNumberFormat="1" applyFont="1" applyFill="1" applyBorder="1" applyAlignment="1" applyProtection="1">
      <alignment horizontal="center" vertical="top"/>
    </xf>
    <xf numFmtId="1" fontId="58" fillId="5" borderId="129" xfId="10" applyNumberFormat="1" applyFont="1" applyFill="1" applyBorder="1" applyAlignment="1" applyProtection="1">
      <alignment horizontal="center"/>
    </xf>
    <xf numFmtId="1" fontId="58" fillId="5" borderId="132" xfId="10" applyNumberFormat="1" applyFont="1" applyFill="1" applyBorder="1" applyAlignment="1" applyProtection="1">
      <alignment horizontal="center"/>
    </xf>
    <xf numFmtId="0" fontId="2" fillId="18" borderId="60" xfId="10" applyFont="1" applyFill="1" applyBorder="1" applyAlignment="1" applyProtection="1">
      <alignment vertical="top"/>
    </xf>
    <xf numFmtId="0" fontId="14" fillId="0" borderId="129" xfId="10" applyFont="1" applyBorder="1" applyProtection="1">
      <protection locked="0"/>
    </xf>
    <xf numFmtId="0" fontId="2" fillId="18" borderId="149" xfId="10" applyFont="1" applyFill="1" applyBorder="1" applyProtection="1"/>
    <xf numFmtId="0" fontId="2" fillId="0" borderId="150" xfId="10" applyFont="1" applyBorder="1" applyProtection="1">
      <protection locked="0"/>
    </xf>
    <xf numFmtId="0" fontId="2" fillId="0" borderId="150" xfId="10" applyFont="1" applyBorder="1" applyAlignment="1" applyProtection="1">
      <alignment horizontal="center"/>
      <protection locked="0"/>
    </xf>
    <xf numFmtId="2" fontId="58" fillId="18" borderId="150" xfId="10" applyNumberFormat="1" applyFont="1" applyFill="1" applyBorder="1" applyAlignment="1" applyProtection="1">
      <alignment horizontal="center"/>
    </xf>
    <xf numFmtId="2" fontId="58" fillId="18" borderId="151" xfId="10" applyNumberFormat="1" applyFont="1" applyFill="1" applyBorder="1" applyAlignment="1" applyProtection="1">
      <alignment horizontal="center"/>
    </xf>
    <xf numFmtId="0" fontId="2" fillId="18" borderId="148" xfId="10" applyFont="1" applyFill="1" applyBorder="1" applyProtection="1"/>
    <xf numFmtId="0" fontId="2" fillId="0" borderId="147" xfId="10" applyFont="1" applyBorder="1" applyProtection="1">
      <protection locked="0"/>
    </xf>
    <xf numFmtId="0" fontId="2" fillId="0" borderId="61" xfId="10" applyFont="1" applyBorder="1" applyAlignment="1" applyProtection="1">
      <alignment vertical="center"/>
      <protection locked="0"/>
    </xf>
    <xf numFmtId="1" fontId="58" fillId="5" borderId="61" xfId="10" applyNumberFormat="1" applyFont="1" applyFill="1" applyBorder="1" applyAlignment="1" applyProtection="1">
      <alignment horizontal="center" vertical="center"/>
    </xf>
    <xf numFmtId="1" fontId="58" fillId="5" borderId="61" xfId="10" applyNumberFormat="1" applyFont="1" applyFill="1" applyBorder="1" applyAlignment="1" applyProtection="1">
      <alignment horizontal="center"/>
    </xf>
    <xf numFmtId="1" fontId="58" fillId="5" borderId="150" xfId="10" applyNumberFormat="1" applyFont="1" applyFill="1" applyBorder="1" applyAlignment="1" applyProtection="1">
      <alignment horizontal="center"/>
    </xf>
    <xf numFmtId="1" fontId="58" fillId="5" borderId="147" xfId="10" applyNumberFormat="1" applyFont="1" applyFill="1" applyBorder="1" applyAlignment="1" applyProtection="1">
      <alignment horizontal="center"/>
    </xf>
    <xf numFmtId="0" fontId="2" fillId="0" borderId="89" xfId="10" applyFont="1" applyBorder="1" applyAlignment="1" applyProtection="1">
      <alignment wrapText="1"/>
      <protection locked="0"/>
    </xf>
    <xf numFmtId="0" fontId="2" fillId="0" borderId="60" xfId="10" applyFont="1" applyBorder="1" applyProtection="1">
      <protection locked="0"/>
    </xf>
    <xf numFmtId="0" fontId="2" fillId="0" borderId="89" xfId="10" applyFont="1" applyBorder="1" applyProtection="1">
      <protection locked="0"/>
    </xf>
    <xf numFmtId="0" fontId="2" fillId="0" borderId="125" xfId="10" applyFont="1" applyBorder="1" applyProtection="1">
      <protection locked="0"/>
    </xf>
    <xf numFmtId="0" fontId="2" fillId="0" borderId="70" xfId="10" applyFont="1" applyBorder="1" applyProtection="1">
      <protection locked="0"/>
    </xf>
    <xf numFmtId="0" fontId="69" fillId="0" borderId="0" xfId="3" applyFont="1" applyFill="1" applyBorder="1" applyAlignment="1" applyProtection="1">
      <alignment horizontal="left" vertical="center"/>
    </xf>
    <xf numFmtId="0" fontId="40" fillId="0" borderId="0" xfId="3" applyFont="1" applyFill="1" applyBorder="1" applyAlignment="1" applyProtection="1">
      <alignment horizontal="center"/>
    </xf>
    <xf numFmtId="0" fontId="84" fillId="0" borderId="1" xfId="10" applyFont="1" applyFill="1" applyBorder="1" applyProtection="1"/>
    <xf numFmtId="0" fontId="38" fillId="0" borderId="0" xfId="10" applyFont="1" applyFill="1" applyBorder="1" applyAlignment="1" applyProtection="1"/>
    <xf numFmtId="0" fontId="84" fillId="0" borderId="0" xfId="10" applyFont="1" applyFill="1" applyBorder="1" applyAlignment="1" applyProtection="1">
      <alignment vertical="center"/>
    </xf>
    <xf numFmtId="0" fontId="38" fillId="0" borderId="89" xfId="10" applyFont="1" applyBorder="1" applyAlignment="1" applyProtection="1">
      <alignment horizontal="left" vertical="center"/>
      <protection locked="0"/>
    </xf>
    <xf numFmtId="0" fontId="40" fillId="4" borderId="80" xfId="10" applyFont="1" applyFill="1" applyBorder="1" applyAlignment="1" applyProtection="1">
      <alignment horizontal="center" vertical="center"/>
    </xf>
    <xf numFmtId="0" fontId="2" fillId="20" borderId="129" xfId="10" applyFont="1" applyFill="1" applyBorder="1" applyProtection="1"/>
    <xf numFmtId="0" fontId="39" fillId="20" borderId="145" xfId="10" applyFont="1" applyFill="1" applyBorder="1" applyAlignment="1" applyProtection="1">
      <alignment vertical="top" wrapText="1"/>
      <protection locked="0"/>
    </xf>
    <xf numFmtId="0" fontId="39" fillId="0" borderId="146" xfId="10" applyFont="1" applyBorder="1" applyProtection="1">
      <protection locked="0"/>
    </xf>
    <xf numFmtId="0" fontId="2" fillId="0" borderId="12" xfId="10" applyFont="1" applyBorder="1" applyAlignment="1" applyProtection="1"/>
    <xf numFmtId="0" fontId="2" fillId="18" borderId="152" xfId="10" applyFont="1" applyFill="1" applyBorder="1" applyProtection="1"/>
    <xf numFmtId="0" fontId="2" fillId="0" borderId="153" xfId="10" applyFont="1" applyBorder="1" applyProtection="1">
      <protection locked="0"/>
    </xf>
    <xf numFmtId="0" fontId="2" fillId="0" borderId="0" xfId="10" applyFont="1" applyBorder="1" applyProtection="1">
      <protection locked="0"/>
    </xf>
    <xf numFmtId="1" fontId="58" fillId="5" borderId="154" xfId="10" applyNumberFormat="1" applyFont="1" applyFill="1" applyBorder="1" applyAlignment="1" applyProtection="1">
      <alignment horizontal="center"/>
    </xf>
    <xf numFmtId="2" fontId="58" fillId="18" borderId="154" xfId="10" applyNumberFormat="1" applyFont="1" applyFill="1" applyBorder="1" applyAlignment="1" applyProtection="1">
      <alignment horizontal="center"/>
    </xf>
    <xf numFmtId="2" fontId="58" fillId="18" borderId="155" xfId="10" applyNumberFormat="1" applyFont="1" applyFill="1" applyBorder="1" applyAlignment="1" applyProtection="1">
      <alignment horizontal="center"/>
    </xf>
    <xf numFmtId="0" fontId="2" fillId="18" borderId="0" xfId="10" applyFont="1" applyFill="1" applyBorder="1" applyProtection="1"/>
    <xf numFmtId="1" fontId="58" fillId="5" borderId="0" xfId="10" applyNumberFormat="1" applyFont="1" applyFill="1" applyBorder="1" applyAlignment="1" applyProtection="1">
      <alignment horizontal="center"/>
    </xf>
    <xf numFmtId="2" fontId="58" fillId="18" borderId="0" xfId="10" applyNumberFormat="1" applyFont="1" applyFill="1" applyBorder="1" applyAlignment="1" applyProtection="1">
      <alignment horizontal="center"/>
    </xf>
    <xf numFmtId="2" fontId="58" fillId="18" borderId="13" xfId="10" applyNumberFormat="1" applyFont="1" applyFill="1" applyBorder="1" applyAlignment="1" applyProtection="1">
      <alignment horizontal="center"/>
    </xf>
    <xf numFmtId="0" fontId="31" fillId="13" borderId="55" xfId="9" applyFont="1" applyFill="1" applyBorder="1" applyAlignment="1" applyProtection="1">
      <alignment horizontal="center" vertical="center"/>
    </xf>
    <xf numFmtId="0" fontId="27" fillId="0" borderId="60" xfId="9" applyFont="1" applyBorder="1" applyAlignment="1" applyProtection="1">
      <alignment horizontal="left" vertical="center" wrapText="1"/>
    </xf>
    <xf numFmtId="0" fontId="11" fillId="14" borderId="28" xfId="9" applyFill="1" applyBorder="1" applyAlignment="1" applyProtection="1">
      <alignment horizontal="center" vertical="center"/>
    </xf>
    <xf numFmtId="0" fontId="31" fillId="0" borderId="5" xfId="9" applyFont="1" applyBorder="1" applyAlignment="1" applyProtection="1">
      <alignment vertical="center"/>
    </xf>
    <xf numFmtId="0" fontId="31" fillId="0" borderId="6" xfId="9" applyFont="1" applyBorder="1" applyAlignment="1" applyProtection="1">
      <alignment vertical="center"/>
    </xf>
    <xf numFmtId="0" fontId="31" fillId="0" borderId="7" xfId="9" applyFont="1" applyBorder="1" applyAlignment="1" applyProtection="1">
      <alignment vertical="center"/>
    </xf>
    <xf numFmtId="0" fontId="11" fillId="0" borderId="11" xfId="9" applyBorder="1" applyProtection="1"/>
    <xf numFmtId="0" fontId="11" fillId="0" borderId="11" xfId="9" applyFill="1" applyBorder="1" applyAlignment="1" applyProtection="1">
      <alignment horizontal="center"/>
    </xf>
    <xf numFmtId="0" fontId="31" fillId="0" borderId="91" xfId="9" applyFont="1" applyFill="1" applyBorder="1" applyAlignment="1" applyProtection="1">
      <alignment horizontal="center" vertical="center"/>
    </xf>
    <xf numFmtId="0" fontId="31" fillId="0" borderId="51" xfId="9" applyFont="1" applyFill="1" applyBorder="1" applyAlignment="1" applyProtection="1">
      <alignment horizontal="center" vertical="center"/>
    </xf>
    <xf numFmtId="0" fontId="51" fillId="0" borderId="58" xfId="9" applyFont="1" applyFill="1" applyBorder="1" applyAlignment="1" applyProtection="1">
      <alignment horizontal="left" vertical="center"/>
    </xf>
    <xf numFmtId="0" fontId="119" fillId="0" borderId="58" xfId="9" applyFont="1" applyFill="1" applyBorder="1" applyAlignment="1" applyProtection="1">
      <alignment horizontal="left" vertical="center"/>
    </xf>
    <xf numFmtId="0" fontId="2" fillId="18" borderId="78" xfId="3" applyFont="1" applyFill="1" applyBorder="1" applyProtection="1"/>
    <xf numFmtId="0" fontId="2" fillId="18" borderId="75" xfId="3" applyFont="1" applyFill="1" applyBorder="1" applyProtection="1"/>
    <xf numFmtId="0" fontId="2" fillId="0" borderId="89" xfId="10" applyFont="1" applyBorder="1" applyAlignment="1" applyProtection="1">
      <alignment horizontal="left"/>
      <protection locked="0"/>
    </xf>
    <xf numFmtId="0" fontId="14" fillId="13" borderId="93" xfId="10" applyFont="1" applyFill="1" applyBorder="1" applyAlignment="1" applyProtection="1">
      <alignment horizontal="center"/>
    </xf>
    <xf numFmtId="0" fontId="2" fillId="0" borderId="89" xfId="10" applyFont="1" applyBorder="1" applyAlignment="1" applyProtection="1">
      <alignment horizontal="left" vertical="center"/>
      <protection locked="0"/>
    </xf>
    <xf numFmtId="0" fontId="14" fillId="13" borderId="88" xfId="10" applyFont="1" applyFill="1" applyBorder="1" applyAlignment="1" applyProtection="1">
      <alignment horizontal="center" vertical="center" wrapText="1"/>
    </xf>
    <xf numFmtId="0" fontId="66" fillId="17" borderId="6" xfId="10" applyFont="1" applyFill="1" applyBorder="1" applyProtection="1"/>
    <xf numFmtId="0" fontId="66" fillId="17" borderId="6" xfId="10" applyFont="1" applyFill="1" applyBorder="1" applyAlignment="1" applyProtection="1">
      <alignment horizontal="center"/>
    </xf>
    <xf numFmtId="0" fontId="66" fillId="17" borderId="6" xfId="10" applyFont="1" applyFill="1" applyBorder="1" applyAlignment="1" applyProtection="1">
      <alignment horizontal="center" wrapText="1"/>
    </xf>
    <xf numFmtId="0" fontId="84" fillId="17" borderId="7" xfId="10" applyFont="1" applyFill="1" applyBorder="1" applyAlignment="1" applyProtection="1">
      <alignment horizontal="center" wrapText="1"/>
    </xf>
    <xf numFmtId="0" fontId="122" fillId="17" borderId="6" xfId="10" applyFont="1" applyFill="1" applyBorder="1" applyProtection="1"/>
    <xf numFmtId="0" fontId="4" fillId="0" borderId="0" xfId="9" applyFont="1" applyAlignment="1" applyProtection="1">
      <alignment horizontal="center"/>
      <protection locked="0"/>
    </xf>
    <xf numFmtId="0" fontId="27" fillId="0" borderId="52" xfId="9" applyFont="1" applyBorder="1" applyAlignment="1" applyProtection="1">
      <alignment horizontal="left" vertical="top" wrapText="1"/>
    </xf>
    <xf numFmtId="0" fontId="27" fillId="0" borderId="60" xfId="9" applyFont="1" applyBorder="1" applyAlignment="1" applyProtection="1">
      <alignment horizontal="left" vertical="top" wrapText="1"/>
    </xf>
    <xf numFmtId="0" fontId="31" fillId="13" borderId="69" xfId="9" applyFont="1" applyFill="1" applyBorder="1" applyAlignment="1" applyProtection="1">
      <alignment horizontal="right"/>
    </xf>
    <xf numFmtId="0" fontId="27" fillId="0" borderId="52" xfId="9" applyFont="1" applyBorder="1" applyAlignment="1" applyProtection="1">
      <alignment horizontal="left" vertical="center" wrapText="1"/>
    </xf>
    <xf numFmtId="0" fontId="31" fillId="13" borderId="54" xfId="9" applyFont="1" applyFill="1" applyBorder="1" applyAlignment="1" applyProtection="1">
      <alignment horizontal="center" vertical="center"/>
    </xf>
    <xf numFmtId="0" fontId="31" fillId="13" borderId="70" xfId="9" applyFont="1" applyFill="1" applyBorder="1" applyAlignment="1" applyProtection="1">
      <alignment horizontal="right"/>
    </xf>
    <xf numFmtId="0" fontId="11" fillId="0" borderId="52" xfId="3" applyFont="1" applyFill="1" applyBorder="1" applyAlignment="1" applyProtection="1">
      <alignment horizontal="left" vertical="center"/>
    </xf>
    <xf numFmtId="0" fontId="2" fillId="0" borderId="89" xfId="10" applyFont="1" applyBorder="1" applyAlignment="1" applyProtection="1">
      <alignment horizontal="left" vertical="center"/>
      <protection locked="0"/>
    </xf>
    <xf numFmtId="0" fontId="74" fillId="13" borderId="73" xfId="10" applyFont="1" applyFill="1" applyBorder="1" applyAlignment="1" applyProtection="1">
      <alignment horizontal="center" vertical="center" wrapText="1"/>
    </xf>
    <xf numFmtId="0" fontId="74" fillId="13" borderId="63" xfId="10" applyFont="1" applyFill="1" applyBorder="1" applyAlignment="1" applyProtection="1">
      <alignment horizontal="center" vertical="center" wrapText="1"/>
    </xf>
    <xf numFmtId="0" fontId="56" fillId="0" borderId="52" xfId="10" applyFont="1" applyFill="1" applyBorder="1" applyAlignment="1" applyProtection="1"/>
    <xf numFmtId="2" fontId="56" fillId="18" borderId="61" xfId="10" applyNumberFormat="1" applyFont="1" applyFill="1" applyBorder="1" applyAlignment="1" applyProtection="1">
      <alignment horizontal="center" vertical="center"/>
    </xf>
    <xf numFmtId="0" fontId="11" fillId="0" borderId="156" xfId="3" applyFont="1" applyBorder="1" applyAlignment="1" applyProtection="1">
      <alignment horizontal="center" vertical="center"/>
    </xf>
    <xf numFmtId="0" fontId="11" fillId="0" borderId="157" xfId="3" applyFont="1" applyBorder="1" applyAlignment="1" applyProtection="1">
      <alignment horizontal="left" vertical="top" wrapText="1"/>
    </xf>
    <xf numFmtId="0" fontId="11" fillId="0" borderId="158" xfId="3" applyFont="1" applyBorder="1" applyAlignment="1" applyProtection="1">
      <alignment horizontal="center" vertical="center" wrapText="1"/>
    </xf>
    <xf numFmtId="49" fontId="2" fillId="0" borderId="65" xfId="9" applyNumberFormat="1" applyFont="1" applyBorder="1" applyAlignment="1" applyProtection="1">
      <alignment horizontal="right" vertical="center"/>
    </xf>
    <xf numFmtId="49" fontId="2" fillId="0" borderId="58" xfId="9" applyNumberFormat="1" applyFont="1" applyBorder="1" applyAlignment="1" applyProtection="1">
      <alignment horizontal="right" vertical="top"/>
    </xf>
    <xf numFmtId="0" fontId="4" fillId="0" borderId="0" xfId="9" applyFont="1" applyFill="1" applyProtection="1">
      <protection locked="0"/>
    </xf>
    <xf numFmtId="0" fontId="4" fillId="0" borderId="0" xfId="9" applyFont="1" applyProtection="1">
      <protection locked="0"/>
    </xf>
    <xf numFmtId="0" fontId="0" fillId="0" borderId="0" xfId="0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9" fillId="0" borderId="5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11" fillId="0" borderId="0" xfId="9" applyAlignment="1" applyProtection="1">
      <alignment vertical="center"/>
      <protection locked="0"/>
    </xf>
    <xf numFmtId="0" fontId="2" fillId="18" borderId="156" xfId="3" applyFont="1" applyFill="1" applyBorder="1" applyProtection="1"/>
    <xf numFmtId="0" fontId="11" fillId="0" borderId="157" xfId="3" applyFont="1" applyBorder="1" applyAlignment="1" applyProtection="1">
      <alignment horizontal="center"/>
      <protection locked="0"/>
    </xf>
    <xf numFmtId="0" fontId="56" fillId="18" borderId="157" xfId="3" applyFont="1" applyFill="1" applyBorder="1" applyAlignment="1" applyProtection="1">
      <alignment horizontal="center"/>
    </xf>
    <xf numFmtId="2" fontId="57" fillId="18" borderId="157" xfId="3" applyNumberFormat="1" applyFont="1" applyFill="1" applyBorder="1" applyAlignment="1" applyProtection="1">
      <alignment horizontal="center"/>
    </xf>
    <xf numFmtId="4" fontId="57" fillId="18" borderId="157" xfId="3" applyNumberFormat="1" applyFont="1" applyFill="1" applyBorder="1" applyAlignment="1" applyProtection="1">
      <alignment horizontal="center"/>
    </xf>
    <xf numFmtId="4" fontId="58" fillId="18" borderId="158" xfId="3" applyNumberFormat="1" applyFont="1" applyFill="1" applyBorder="1" applyAlignment="1" applyProtection="1">
      <alignment horizontal="center"/>
    </xf>
    <xf numFmtId="0" fontId="2" fillId="18" borderId="119" xfId="3" applyFont="1" applyFill="1" applyBorder="1" applyProtection="1"/>
    <xf numFmtId="0" fontId="11" fillId="0" borderId="161" xfId="3" applyFont="1" applyBorder="1" applyAlignment="1" applyProtection="1">
      <alignment horizontal="center"/>
      <protection locked="0"/>
    </xf>
    <xf numFmtId="0" fontId="56" fillId="18" borderId="161" xfId="3" applyFont="1" applyFill="1" applyBorder="1" applyAlignment="1" applyProtection="1">
      <alignment horizontal="center"/>
    </xf>
    <xf numFmtId="2" fontId="57" fillId="18" borderId="161" xfId="3" applyNumberFormat="1" applyFont="1" applyFill="1" applyBorder="1" applyAlignment="1" applyProtection="1">
      <alignment horizontal="center"/>
    </xf>
    <xf numFmtId="4" fontId="57" fillId="18" borderId="161" xfId="3" applyNumberFormat="1" applyFont="1" applyFill="1" applyBorder="1" applyAlignment="1" applyProtection="1">
      <alignment horizontal="center"/>
    </xf>
    <xf numFmtId="4" fontId="58" fillId="18" borderId="162" xfId="3" applyNumberFormat="1" applyFont="1" applyFill="1" applyBorder="1" applyAlignment="1" applyProtection="1">
      <alignment horizontal="center"/>
    </xf>
    <xf numFmtId="0" fontId="11" fillId="18" borderId="119" xfId="3" applyFont="1" applyFill="1" applyBorder="1" applyProtection="1"/>
    <xf numFmtId="2" fontId="58" fillId="18" borderId="162" xfId="3" applyNumberFormat="1" applyFont="1" applyFill="1" applyBorder="1" applyAlignment="1" applyProtection="1">
      <alignment horizontal="center"/>
    </xf>
    <xf numFmtId="0" fontId="11" fillId="18" borderId="156" xfId="3" applyFont="1" applyFill="1" applyBorder="1" applyProtection="1"/>
    <xf numFmtId="2" fontId="58" fillId="18" borderId="158" xfId="3" applyNumberFormat="1" applyFont="1" applyFill="1" applyBorder="1" applyAlignment="1" applyProtection="1">
      <alignment horizontal="center"/>
    </xf>
    <xf numFmtId="0" fontId="57" fillId="18" borderId="157" xfId="3" applyFont="1" applyFill="1" applyBorder="1" applyAlignment="1" applyProtection="1">
      <alignment horizontal="center"/>
    </xf>
    <xf numFmtId="0" fontId="57" fillId="18" borderId="161" xfId="3" applyFont="1" applyFill="1" applyBorder="1" applyAlignment="1" applyProtection="1">
      <alignment horizontal="center"/>
    </xf>
    <xf numFmtId="0" fontId="58" fillId="18" borderId="157" xfId="3" applyFont="1" applyFill="1" applyBorder="1" applyAlignment="1" applyProtection="1">
      <alignment horizontal="center"/>
    </xf>
    <xf numFmtId="2" fontId="58" fillId="18" borderId="157" xfId="3" applyNumberFormat="1" applyFont="1" applyFill="1" applyBorder="1" applyAlignment="1" applyProtection="1">
      <alignment horizontal="center"/>
    </xf>
    <xf numFmtId="0" fontId="58" fillId="18" borderId="161" xfId="3" applyFont="1" applyFill="1" applyBorder="1" applyAlignment="1" applyProtection="1">
      <alignment horizontal="center"/>
    </xf>
    <xf numFmtId="2" fontId="58" fillId="18" borderId="161" xfId="3" applyNumberFormat="1" applyFont="1" applyFill="1" applyBorder="1" applyAlignment="1" applyProtection="1">
      <alignment horizontal="center"/>
    </xf>
    <xf numFmtId="2" fontId="61" fillId="0" borderId="10" xfId="3" applyNumberFormat="1" applyFont="1" applyFill="1" applyBorder="1" applyAlignment="1" applyProtection="1">
      <alignment vertical="center"/>
    </xf>
    <xf numFmtId="0" fontId="2" fillId="0" borderId="63" xfId="3" applyFont="1" applyBorder="1" applyAlignment="1" applyProtection="1">
      <alignment horizontal="center"/>
      <protection locked="0"/>
    </xf>
    <xf numFmtId="0" fontId="2" fillId="0" borderId="61" xfId="3" applyFont="1" applyBorder="1" applyAlignment="1" applyProtection="1">
      <alignment horizontal="center"/>
      <protection locked="0"/>
    </xf>
    <xf numFmtId="0" fontId="2" fillId="0" borderId="61" xfId="3" applyFont="1" applyBorder="1" applyAlignment="1" applyProtection="1">
      <protection locked="0"/>
    </xf>
    <xf numFmtId="0" fontId="2" fillId="0" borderId="63" xfId="3" applyFont="1" applyFill="1" applyBorder="1" applyAlignment="1" applyProtection="1">
      <alignment horizontal="center"/>
      <protection locked="0"/>
    </xf>
    <xf numFmtId="0" fontId="2" fillId="0" borderId="61" xfId="3" applyFont="1" applyFill="1" applyBorder="1" applyAlignment="1" applyProtection="1">
      <alignment horizontal="center" vertical="center"/>
      <protection locked="0"/>
    </xf>
    <xf numFmtId="0" fontId="2" fillId="12" borderId="111" xfId="10" applyFont="1" applyFill="1" applyBorder="1" applyProtection="1"/>
    <xf numFmtId="0" fontId="28" fillId="12" borderId="112" xfId="10" applyFont="1" applyFill="1" applyBorder="1" applyAlignment="1" applyProtection="1">
      <alignment horizontal="right"/>
    </xf>
    <xf numFmtId="0" fontId="28" fillId="12" borderId="112" xfId="10" applyFont="1" applyFill="1" applyBorder="1" applyAlignment="1" applyProtection="1">
      <alignment horizontal="center"/>
    </xf>
    <xf numFmtId="0" fontId="2" fillId="12" borderId="112" xfId="10" applyFont="1" applyFill="1" applyBorder="1" applyAlignment="1" applyProtection="1">
      <alignment horizontal="center"/>
    </xf>
    <xf numFmtId="0" fontId="111" fillId="12" borderId="112" xfId="10" applyFont="1" applyFill="1" applyBorder="1" applyAlignment="1" applyProtection="1">
      <alignment horizontal="center"/>
    </xf>
    <xf numFmtId="0" fontId="14" fillId="12" borderId="160" xfId="10" applyFont="1" applyFill="1" applyBorder="1" applyAlignment="1" applyProtection="1">
      <alignment horizontal="right"/>
    </xf>
    <xf numFmtId="2" fontId="28" fillId="12" borderId="157" xfId="10" applyNumberFormat="1" applyFont="1" applyFill="1" applyBorder="1" applyAlignment="1" applyProtection="1">
      <alignment horizontal="right"/>
    </xf>
    <xf numFmtId="2" fontId="28" fillId="12" borderId="158" xfId="10" applyNumberFormat="1" applyFont="1" applyFill="1" applyBorder="1" applyAlignment="1" applyProtection="1">
      <alignment horizontal="right"/>
    </xf>
    <xf numFmtId="0" fontId="101" fillId="0" borderId="119" xfId="10" applyFont="1" applyBorder="1" applyProtection="1"/>
    <xf numFmtId="0" fontId="114" fillId="0" borderId="120" xfId="10" applyFont="1" applyBorder="1" applyAlignment="1" applyProtection="1"/>
    <xf numFmtId="0" fontId="114" fillId="0" borderId="121" xfId="10" applyFont="1" applyBorder="1" applyAlignment="1" applyProtection="1"/>
    <xf numFmtId="0" fontId="2" fillId="0" borderId="161" xfId="10" applyFont="1" applyBorder="1" applyAlignment="1" applyProtection="1"/>
    <xf numFmtId="0" fontId="58" fillId="0" borderId="161" xfId="10" applyFont="1" applyBorder="1" applyAlignment="1" applyProtection="1">
      <alignment horizontal="center"/>
    </xf>
    <xf numFmtId="0" fontId="58" fillId="0" borderId="162" xfId="10" applyFont="1" applyBorder="1" applyAlignment="1" applyProtection="1">
      <alignment horizontal="center"/>
    </xf>
    <xf numFmtId="3" fontId="2" fillId="0" borderId="61" xfId="10" applyNumberFormat="1" applyFont="1" applyBorder="1" applyAlignment="1" applyProtection="1">
      <alignment horizontal="center"/>
      <protection locked="0"/>
    </xf>
    <xf numFmtId="0" fontId="6" fillId="6" borderId="3" xfId="9" applyFont="1" applyFill="1" applyBorder="1" applyProtection="1"/>
    <xf numFmtId="0" fontId="6" fillId="6" borderId="1" xfId="9" applyFont="1" applyFill="1" applyBorder="1" applyProtection="1"/>
    <xf numFmtId="0" fontId="14" fillId="13" borderId="73" xfId="10" applyFont="1" applyFill="1" applyBorder="1" applyAlignment="1" applyProtection="1">
      <alignment horizontal="center" vertical="center" wrapText="1"/>
    </xf>
    <xf numFmtId="0" fontId="14" fillId="13" borderId="63" xfId="10" applyFont="1" applyFill="1" applyBorder="1" applyAlignment="1" applyProtection="1">
      <alignment horizontal="center" vertical="center" wrapText="1"/>
    </xf>
    <xf numFmtId="191" fontId="87" fillId="0" borderId="63" xfId="3" applyNumberFormat="1" applyFont="1" applyFill="1" applyBorder="1" applyAlignment="1" applyProtection="1">
      <alignment horizontal="center" vertical="center"/>
      <protection locked="0"/>
    </xf>
    <xf numFmtId="191" fontId="2" fillId="0" borderId="63" xfId="1" applyNumberFormat="1" applyFont="1" applyFill="1" applyBorder="1" applyAlignment="1" applyProtection="1">
      <alignment horizontal="center"/>
      <protection locked="0"/>
    </xf>
    <xf numFmtId="191" fontId="2" fillId="0" borderId="61" xfId="1" applyNumberFormat="1" applyFont="1" applyFill="1" applyBorder="1" applyAlignment="1" applyProtection="1">
      <alignment horizontal="center"/>
      <protection locked="0"/>
    </xf>
    <xf numFmtId="191" fontId="86" fillId="3" borderId="63" xfId="3" applyNumberFormat="1" applyFont="1" applyFill="1" applyBorder="1" applyAlignment="1" applyProtection="1">
      <alignment horizontal="center" vertical="center"/>
    </xf>
    <xf numFmtId="191" fontId="2" fillId="0" borderId="88" xfId="1" applyNumberFormat="1" applyFont="1" applyFill="1" applyBorder="1" applyAlignment="1" applyProtection="1">
      <alignment horizontal="center"/>
      <protection locked="0"/>
    </xf>
    <xf numFmtId="191" fontId="2" fillId="0" borderId="89" xfId="1" applyNumberFormat="1" applyFont="1" applyFill="1" applyBorder="1" applyAlignment="1" applyProtection="1">
      <alignment horizontal="center"/>
      <protection locked="0"/>
    </xf>
    <xf numFmtId="191" fontId="54" fillId="3" borderId="91" xfId="10" applyNumberFormat="1" applyFont="1" applyFill="1" applyBorder="1" applyAlignment="1" applyProtection="1">
      <alignment horizontal="center" vertical="center" wrapText="1"/>
    </xf>
    <xf numFmtId="191" fontId="2" fillId="0" borderId="60" xfId="10" applyNumberFormat="1" applyFont="1" applyBorder="1" applyAlignment="1" applyProtection="1">
      <alignment horizontal="center" vertical="center"/>
      <protection locked="0"/>
    </xf>
    <xf numFmtId="191" fontId="2" fillId="0" borderId="60" xfId="10" applyNumberFormat="1" applyFont="1" applyBorder="1" applyAlignment="1" applyProtection="1">
      <alignment horizontal="center"/>
      <protection locked="0"/>
    </xf>
    <xf numFmtId="191" fontId="54" fillId="3" borderId="61" xfId="10" applyNumberFormat="1" applyFont="1" applyFill="1" applyBorder="1" applyAlignment="1" applyProtection="1">
      <alignment horizontal="center"/>
    </xf>
    <xf numFmtId="191" fontId="2" fillId="0" borderId="61" xfId="10" applyNumberFormat="1" applyFont="1" applyBorder="1" applyAlignment="1" applyProtection="1">
      <alignment horizontal="center"/>
      <protection locked="0"/>
    </xf>
    <xf numFmtId="191" fontId="54" fillId="3" borderId="64" xfId="10" applyNumberFormat="1" applyFont="1" applyFill="1" applyBorder="1" applyAlignment="1" applyProtection="1">
      <alignment horizontal="center" vertical="center" wrapText="1"/>
    </xf>
    <xf numFmtId="191" fontId="2" fillId="0" borderId="62" xfId="10" applyNumberFormat="1" applyFont="1" applyBorder="1" applyAlignment="1" applyProtection="1">
      <alignment horizontal="center" vertical="center"/>
      <protection locked="0"/>
    </xf>
    <xf numFmtId="191" fontId="2" fillId="0" borderId="62" xfId="10" applyNumberFormat="1" applyFont="1" applyBorder="1" applyAlignment="1" applyProtection="1">
      <alignment horizontal="center"/>
      <protection locked="0"/>
    </xf>
    <xf numFmtId="191" fontId="2" fillId="0" borderId="61" xfId="10" applyNumberFormat="1" applyFont="1" applyFill="1" applyBorder="1" applyAlignment="1" applyProtection="1">
      <alignment horizontal="center"/>
      <protection locked="0"/>
    </xf>
    <xf numFmtId="191" fontId="2" fillId="0" borderId="61" xfId="10" applyNumberFormat="1" applyFont="1" applyFill="1" applyBorder="1" applyAlignment="1" applyProtection="1">
      <alignment horizontal="center" vertical="center"/>
      <protection locked="0"/>
    </xf>
    <xf numFmtId="191" fontId="2" fillId="0" borderId="60" xfId="10" applyNumberFormat="1" applyFont="1" applyFill="1" applyBorder="1" applyAlignment="1" applyProtection="1">
      <alignment horizontal="center"/>
      <protection locked="0"/>
    </xf>
    <xf numFmtId="0" fontId="31" fillId="13" borderId="2" xfId="9" applyFont="1" applyFill="1" applyBorder="1" applyAlignment="1" applyProtection="1">
      <alignment horizontal="center" vertical="top"/>
    </xf>
    <xf numFmtId="0" fontId="31" fillId="13" borderId="22" xfId="9" applyFont="1" applyFill="1" applyBorder="1" applyAlignment="1" applyProtection="1">
      <alignment horizontal="center" vertical="top"/>
    </xf>
    <xf numFmtId="0" fontId="6" fillId="0" borderId="0" xfId="9" applyFont="1" applyAlignment="1" applyProtection="1">
      <alignment horizontal="center"/>
      <protection locked="0"/>
    </xf>
    <xf numFmtId="0" fontId="11" fillId="0" borderId="0" xfId="9" applyAlignment="1" applyProtection="1">
      <alignment horizontal="center"/>
      <protection locked="0"/>
    </xf>
    <xf numFmtId="0" fontId="11" fillId="0" borderId="0" xfId="9" applyProtection="1">
      <protection locked="0"/>
    </xf>
    <xf numFmtId="0" fontId="31" fillId="0" borderId="11" xfId="9" applyFont="1" applyFill="1" applyBorder="1" applyAlignment="1" applyProtection="1">
      <alignment horizontal="center" vertical="center"/>
    </xf>
    <xf numFmtId="2" fontId="51" fillId="3" borderId="11" xfId="9" applyNumberFormat="1" applyFont="1" applyFill="1" applyBorder="1" applyAlignment="1" applyProtection="1">
      <alignment horizontal="center" vertical="center"/>
    </xf>
    <xf numFmtId="4" fontId="51" fillId="3" borderId="11" xfId="9" applyNumberFormat="1" applyFont="1" applyFill="1" applyBorder="1" applyAlignment="1" applyProtection="1">
      <alignment horizontal="center" vertical="center"/>
    </xf>
    <xf numFmtId="4" fontId="56" fillId="3" borderId="14" xfId="9" applyNumberFormat="1" applyFont="1" applyFill="1" applyBorder="1" applyAlignment="1" applyProtection="1">
      <alignment horizontal="center" vertical="center"/>
    </xf>
    <xf numFmtId="4" fontId="56" fillId="3" borderId="24" xfId="9" applyNumberFormat="1" applyFont="1" applyFill="1" applyBorder="1" applyAlignment="1" applyProtection="1">
      <alignment horizontal="center" vertical="center"/>
    </xf>
    <xf numFmtId="4" fontId="56" fillId="3" borderId="28" xfId="9" applyNumberFormat="1" applyFont="1" applyFill="1" applyBorder="1" applyAlignment="1" applyProtection="1">
      <alignment horizontal="center" vertical="center"/>
    </xf>
    <xf numFmtId="49" fontId="2" fillId="13" borderId="8" xfId="9" applyNumberFormat="1" applyFont="1" applyFill="1" applyBorder="1" applyAlignment="1" applyProtection="1">
      <alignment horizontal="center" vertical="center"/>
    </xf>
    <xf numFmtId="0" fontId="14" fillId="0" borderId="8" xfId="9" applyFont="1" applyBorder="1" applyAlignment="1" applyProtection="1">
      <alignment horizontal="center" vertical="center"/>
    </xf>
    <xf numFmtId="0" fontId="11" fillId="0" borderId="28" xfId="9" applyFill="1" applyBorder="1" applyAlignment="1" applyProtection="1">
      <alignment horizontal="center" vertical="center"/>
    </xf>
    <xf numFmtId="0" fontId="51" fillId="0" borderId="8" xfId="9" applyFont="1" applyFill="1" applyBorder="1" applyAlignment="1" applyProtection="1">
      <alignment horizontal="center" vertical="center"/>
    </xf>
    <xf numFmtId="0" fontId="56" fillId="0" borderId="14" xfId="9" applyFont="1" applyFill="1" applyBorder="1" applyAlignment="1" applyProtection="1">
      <alignment horizontal="center" vertical="center"/>
    </xf>
    <xf numFmtId="0" fontId="56" fillId="0" borderId="24" xfId="9" applyFont="1" applyFill="1" applyBorder="1" applyAlignment="1" applyProtection="1">
      <alignment horizontal="center" vertical="center"/>
    </xf>
    <xf numFmtId="0" fontId="51" fillId="3" borderId="11" xfId="9" applyFont="1" applyFill="1" applyBorder="1" applyAlignment="1" applyProtection="1">
      <alignment horizontal="center" vertical="center"/>
    </xf>
    <xf numFmtId="0" fontId="56" fillId="3" borderId="14" xfId="9" applyFont="1" applyFill="1" applyBorder="1" applyAlignment="1" applyProtection="1">
      <alignment horizontal="center" vertical="center"/>
    </xf>
    <xf numFmtId="0" fontId="56" fillId="3" borderId="24" xfId="9" applyFont="1" applyFill="1" applyBorder="1" applyAlignment="1" applyProtection="1">
      <alignment horizontal="center" vertical="center"/>
    </xf>
    <xf numFmtId="0" fontId="11" fillId="15" borderId="8" xfId="9" applyFill="1" applyBorder="1" applyAlignment="1" applyProtection="1">
      <alignment horizontal="center"/>
    </xf>
    <xf numFmtId="0" fontId="31" fillId="13" borderId="8" xfId="9" applyFont="1" applyFill="1" applyBorder="1" applyAlignment="1" applyProtection="1">
      <alignment horizontal="center" vertical="top"/>
    </xf>
    <xf numFmtId="0" fontId="124" fillId="0" borderId="0" xfId="1" applyFont="1"/>
    <xf numFmtId="0" fontId="124" fillId="0" borderId="0" xfId="1" applyFont="1" applyFill="1"/>
    <xf numFmtId="0" fontId="125" fillId="0" borderId="0" xfId="1" applyFont="1"/>
    <xf numFmtId="0" fontId="126" fillId="0" borderId="0" xfId="1" applyFont="1"/>
    <xf numFmtId="0" fontId="126" fillId="0" borderId="0" xfId="1" applyFont="1" applyFill="1"/>
    <xf numFmtId="187" fontId="127" fillId="0" borderId="0" xfId="1" applyNumberFormat="1" applyFont="1" applyAlignment="1">
      <alignment horizontal="right"/>
    </xf>
    <xf numFmtId="0" fontId="127" fillId="0" borderId="0" xfId="1" applyFont="1"/>
    <xf numFmtId="0" fontId="128" fillId="0" borderId="0" xfId="1" applyFont="1"/>
    <xf numFmtId="49" fontId="127" fillId="0" borderId="0" xfId="1" applyNumberFormat="1" applyFont="1" applyAlignment="1">
      <alignment horizontal="right"/>
    </xf>
    <xf numFmtId="0" fontId="131" fillId="0" borderId="0" xfId="0" applyFont="1"/>
    <xf numFmtId="0" fontId="0" fillId="0" borderId="0" xfId="0"/>
    <xf numFmtId="0" fontId="133" fillId="0" borderId="11" xfId="0" applyFont="1" applyBorder="1"/>
    <xf numFmtId="0" fontId="134" fillId="0" borderId="11" xfId="0" applyFont="1" applyBorder="1" applyAlignment="1">
      <alignment horizontal="center" vertical="center" wrapText="1"/>
    </xf>
    <xf numFmtId="0" fontId="133" fillId="0" borderId="11" xfId="0" applyFont="1" applyBorder="1" applyAlignment="1">
      <alignment horizontal="center"/>
    </xf>
    <xf numFmtId="0" fontId="133" fillId="0" borderId="11" xfId="0" applyFont="1" applyBorder="1" applyAlignment="1">
      <alignment wrapText="1"/>
    </xf>
    <xf numFmtId="0" fontId="133" fillId="0" borderId="14" xfId="0" applyFont="1" applyBorder="1"/>
    <xf numFmtId="0" fontId="133" fillId="0" borderId="14" xfId="0" applyFont="1" applyBorder="1" applyAlignment="1">
      <alignment horizontal="center"/>
    </xf>
    <xf numFmtId="0" fontId="133" fillId="0" borderId="28" xfId="0" applyFont="1" applyBorder="1"/>
    <xf numFmtId="0" fontId="133" fillId="0" borderId="28" xfId="0" applyFont="1" applyBorder="1" applyAlignment="1">
      <alignment horizontal="center"/>
    </xf>
    <xf numFmtId="0" fontId="133" fillId="0" borderId="11" xfId="0" applyFont="1" applyBorder="1" applyAlignment="1">
      <alignment horizontal="center" vertical="center"/>
    </xf>
    <xf numFmtId="0" fontId="134" fillId="5" borderId="5" xfId="0" applyFont="1" applyFill="1" applyBorder="1"/>
    <xf numFmtId="0" fontId="133" fillId="5" borderId="6" xfId="0" applyFont="1" applyFill="1" applyBorder="1"/>
    <xf numFmtId="0" fontId="133" fillId="5" borderId="7" xfId="0" applyFont="1" applyFill="1" applyBorder="1"/>
    <xf numFmtId="0" fontId="133" fillId="5" borderId="6" xfId="0" applyFont="1" applyFill="1" applyBorder="1" applyAlignment="1">
      <alignment horizontal="center"/>
    </xf>
    <xf numFmtId="0" fontId="133" fillId="5" borderId="7" xfId="0" applyFont="1" applyFill="1" applyBorder="1" applyAlignment="1">
      <alignment horizontal="center"/>
    </xf>
    <xf numFmtId="0" fontId="133" fillId="0" borderId="24" xfId="0" applyFont="1" applyBorder="1"/>
    <xf numFmtId="0" fontId="133" fillId="0" borderId="24" xfId="0" applyFont="1" applyBorder="1" applyAlignment="1">
      <alignment horizontal="center"/>
    </xf>
    <xf numFmtId="0" fontId="136" fillId="0" borderId="14" xfId="0" applyFont="1" applyBorder="1" applyAlignment="1">
      <alignment horizontal="center"/>
    </xf>
    <xf numFmtId="0" fontId="136" fillId="0" borderId="18" xfId="0" applyFont="1" applyBorder="1" applyAlignment="1">
      <alignment horizontal="center"/>
    </xf>
    <xf numFmtId="0" fontId="136" fillId="0" borderId="24" xfId="0" applyFont="1" applyBorder="1" applyAlignment="1">
      <alignment horizontal="center"/>
    </xf>
    <xf numFmtId="0" fontId="136" fillId="0" borderId="28" xfId="0" applyFont="1" applyBorder="1" applyAlignment="1">
      <alignment horizontal="center"/>
    </xf>
    <xf numFmtId="0" fontId="129" fillId="0" borderId="0" xfId="1" applyFont="1"/>
    <xf numFmtId="0" fontId="126" fillId="0" borderId="0" xfId="1" applyFont="1" applyAlignment="1">
      <alignment vertical="top" wrapText="1"/>
    </xf>
    <xf numFmtId="0" fontId="129" fillId="0" borderId="0" xfId="1" applyFont="1" applyAlignment="1">
      <alignment vertical="top" wrapText="1"/>
    </xf>
    <xf numFmtId="0" fontId="126" fillId="0" borderId="0" xfId="1" applyFont="1" applyAlignment="1"/>
    <xf numFmtId="0" fontId="133" fillId="0" borderId="0" xfId="0" applyFont="1" applyFill="1" applyBorder="1"/>
    <xf numFmtId="0" fontId="123" fillId="0" borderId="0" xfId="1" applyFont="1" applyAlignment="1"/>
    <xf numFmtId="0" fontId="129" fillId="0" borderId="0" xfId="9" applyFont="1" applyProtection="1"/>
    <xf numFmtId="0" fontId="138" fillId="0" borderId="0" xfId="9" applyFont="1" applyAlignment="1" applyProtection="1"/>
    <xf numFmtId="0" fontId="139" fillId="0" borderId="0" xfId="9" applyFont="1" applyProtection="1"/>
    <xf numFmtId="0" fontId="127" fillId="0" borderId="0" xfId="9" applyFont="1" applyAlignment="1" applyProtection="1"/>
    <xf numFmtId="0" fontId="127" fillId="0" borderId="0" xfId="9" applyFont="1" applyAlignment="1" applyProtection="1">
      <alignment horizontal="right"/>
    </xf>
    <xf numFmtId="0" fontId="126" fillId="0" borderId="0" xfId="9" applyFont="1" applyBorder="1" applyAlignment="1" applyProtection="1">
      <alignment horizontal="center"/>
    </xf>
    <xf numFmtId="0" fontId="127" fillId="0" borderId="0" xfId="9" applyFont="1" applyAlignment="1" applyProtection="1">
      <alignment horizontal="left"/>
    </xf>
    <xf numFmtId="0" fontId="126" fillId="0" borderId="0" xfId="9" applyFont="1" applyBorder="1" applyAlignment="1" applyProtection="1">
      <alignment horizontal="left"/>
    </xf>
    <xf numFmtId="0" fontId="126" fillId="0" borderId="0" xfId="9" applyFont="1" applyProtection="1"/>
    <xf numFmtId="0" fontId="141" fillId="0" borderId="0" xfId="9" applyFont="1" applyBorder="1" applyProtection="1"/>
    <xf numFmtId="0" fontId="124" fillId="0" borderId="0" xfId="9" applyFont="1" applyBorder="1" applyProtection="1"/>
    <xf numFmtId="0" fontId="124" fillId="0" borderId="0" xfId="9" applyFont="1" applyProtection="1"/>
    <xf numFmtId="0" fontId="124" fillId="0" borderId="0" xfId="9" applyFont="1" applyBorder="1" applyAlignment="1" applyProtection="1">
      <alignment wrapText="1"/>
    </xf>
    <xf numFmtId="0" fontId="126" fillId="0" borderId="0" xfId="9" applyFont="1" applyAlignment="1" applyProtection="1">
      <alignment vertical="top"/>
    </xf>
    <xf numFmtId="0" fontId="124" fillId="0" borderId="0" xfId="9" applyFont="1" applyAlignment="1" applyProtection="1">
      <alignment vertical="top"/>
    </xf>
    <xf numFmtId="0" fontId="124" fillId="0" borderId="0" xfId="9" applyFont="1" applyBorder="1" applyAlignment="1" applyProtection="1">
      <alignment vertical="top" wrapText="1"/>
    </xf>
    <xf numFmtId="0" fontId="124" fillId="0" borderId="0" xfId="9" applyFont="1" applyAlignment="1" applyProtection="1">
      <alignment vertical="top" wrapText="1"/>
    </xf>
    <xf numFmtId="0" fontId="126" fillId="0" borderId="0" xfId="9" applyFont="1" applyBorder="1" applyProtection="1"/>
    <xf numFmtId="0" fontId="142" fillId="6" borderId="4" xfId="9" applyFont="1" applyFill="1" applyBorder="1" applyProtection="1"/>
    <xf numFmtId="0" fontId="139" fillId="6" borderId="4" xfId="9" applyFont="1" applyFill="1" applyBorder="1" applyProtection="1"/>
    <xf numFmtId="0" fontId="139" fillId="6" borderId="31" xfId="9" applyFont="1" applyFill="1" applyBorder="1" applyProtection="1"/>
    <xf numFmtId="0" fontId="126" fillId="6" borderId="0" xfId="9" applyFont="1" applyFill="1" applyBorder="1" applyProtection="1"/>
    <xf numFmtId="0" fontId="126" fillId="21" borderId="39" xfId="9" applyFont="1" applyFill="1" applyBorder="1" applyProtection="1"/>
    <xf numFmtId="0" fontId="126" fillId="6" borderId="13" xfId="9" applyFont="1" applyFill="1" applyBorder="1" applyProtection="1"/>
    <xf numFmtId="0" fontId="126" fillId="11" borderId="164" xfId="9" applyFont="1" applyFill="1" applyBorder="1" applyProtection="1"/>
    <xf numFmtId="0" fontId="135" fillId="6" borderId="0" xfId="9" applyFont="1" applyFill="1" applyBorder="1" applyProtection="1"/>
    <xf numFmtId="0" fontId="129" fillId="0" borderId="0" xfId="9" applyFont="1" applyAlignment="1" applyProtection="1">
      <alignment horizontal="left"/>
    </xf>
    <xf numFmtId="0" fontId="138" fillId="0" borderId="1" xfId="9" applyFont="1" applyBorder="1" applyAlignment="1" applyProtection="1"/>
    <xf numFmtId="0" fontId="138" fillId="0" borderId="0" xfId="9" applyFont="1" applyBorder="1" applyAlignment="1" applyProtection="1"/>
    <xf numFmtId="0" fontId="124" fillId="0" borderId="13" xfId="9" applyFont="1" applyBorder="1" applyAlignment="1" applyProtection="1">
      <alignment horizontal="left" vertical="top" wrapText="1"/>
    </xf>
    <xf numFmtId="0" fontId="9" fillId="0" borderId="0" xfId="1" applyFont="1" applyBorder="1" applyAlignment="1" applyProtection="1">
      <alignment horizontal="center" vertical="top" wrapText="1"/>
    </xf>
    <xf numFmtId="0" fontId="6" fillId="0" borderId="0" xfId="9" applyFont="1" applyFill="1" applyBorder="1" applyAlignment="1" applyProtection="1">
      <protection locked="0"/>
    </xf>
    <xf numFmtId="0" fontId="9" fillId="0" borderId="0" xfId="9" applyFont="1" applyFill="1" applyAlignment="1" applyProtection="1">
      <alignment horizontal="center"/>
      <protection locked="0"/>
    </xf>
    <xf numFmtId="0" fontId="9" fillId="0" borderId="0" xfId="9" applyFont="1" applyAlignment="1" applyProtection="1">
      <alignment horizontal="center"/>
      <protection locked="0"/>
    </xf>
    <xf numFmtId="0" fontId="132" fillId="0" borderId="6" xfId="9" applyFont="1" applyBorder="1" applyAlignment="1" applyProtection="1">
      <alignment horizontal="center" vertical="center" wrapText="1" shrinkToFit="1"/>
    </xf>
    <xf numFmtId="0" fontId="126" fillId="0" borderId="7" xfId="9" applyFont="1" applyBorder="1" applyAlignment="1" applyProtection="1">
      <alignment horizontal="center" vertical="center" wrapText="1"/>
    </xf>
    <xf numFmtId="0" fontId="132" fillId="0" borderId="1" xfId="9" applyFont="1" applyBorder="1" applyAlignment="1" applyProtection="1">
      <alignment horizontal="center" vertical="center" wrapText="1" shrinkToFit="1"/>
    </xf>
    <xf numFmtId="2" fontId="126" fillId="0" borderId="171" xfId="9" applyNumberFormat="1" applyFont="1" applyFill="1" applyBorder="1" applyAlignment="1" applyProtection="1">
      <alignment horizontal="center" vertical="center"/>
    </xf>
    <xf numFmtId="0" fontId="126" fillId="6" borderId="170" xfId="9" applyFont="1" applyFill="1" applyBorder="1" applyProtection="1"/>
    <xf numFmtId="2" fontId="127" fillId="18" borderId="11" xfId="9" applyNumberFormat="1" applyFont="1" applyFill="1" applyBorder="1" applyAlignment="1" applyProtection="1">
      <alignment horizontal="center" vertical="top" wrapText="1"/>
    </xf>
    <xf numFmtId="2" fontId="150" fillId="18" borderId="11" xfId="9" applyNumberFormat="1" applyFont="1" applyFill="1" applyBorder="1" applyAlignment="1" applyProtection="1">
      <alignment horizontal="center" vertical="center"/>
    </xf>
    <xf numFmtId="0" fontId="6" fillId="0" borderId="12" xfId="9" applyFont="1" applyBorder="1" applyProtection="1">
      <protection locked="0"/>
    </xf>
    <xf numFmtId="0" fontId="127" fillId="22" borderId="2" xfId="9" applyFont="1" applyFill="1" applyBorder="1" applyProtection="1">
      <protection locked="0"/>
    </xf>
    <xf numFmtId="0" fontId="138" fillId="0" borderId="0" xfId="9" applyFont="1" applyBorder="1" applyAlignment="1" applyProtection="1">
      <protection locked="0"/>
    </xf>
    <xf numFmtId="0" fontId="126" fillId="0" borderId="0" xfId="9" applyFont="1" applyProtection="1">
      <protection locked="0"/>
    </xf>
    <xf numFmtId="0" fontId="124" fillId="0" borderId="0" xfId="9" applyFont="1" applyProtection="1">
      <protection locked="0"/>
    </xf>
    <xf numFmtId="0" fontId="124" fillId="0" borderId="14" xfId="9" applyFont="1" applyFill="1" applyBorder="1" applyAlignment="1" applyProtection="1">
      <alignment horizontal="center"/>
    </xf>
    <xf numFmtId="0" fontId="124" fillId="0" borderId="14" xfId="9" applyFont="1" applyBorder="1" applyAlignment="1" applyProtection="1">
      <alignment horizontal="center"/>
    </xf>
    <xf numFmtId="0" fontId="124" fillId="0" borderId="24" xfId="9" applyFont="1" applyFill="1" applyBorder="1" applyAlignment="1" applyProtection="1">
      <alignment horizontal="center"/>
    </xf>
    <xf numFmtId="0" fontId="124" fillId="0" borderId="24" xfId="9" applyFont="1" applyBorder="1" applyAlignment="1" applyProtection="1">
      <alignment horizontal="center"/>
    </xf>
    <xf numFmtId="0" fontId="124" fillId="0" borderId="28" xfId="9" applyFont="1" applyFill="1" applyBorder="1" applyAlignment="1" applyProtection="1">
      <alignment horizontal="center"/>
    </xf>
    <xf numFmtId="0" fontId="124" fillId="0" borderId="28" xfId="9" applyFont="1" applyBorder="1" applyAlignment="1" applyProtection="1">
      <alignment horizontal="center"/>
    </xf>
    <xf numFmtId="0" fontId="153" fillId="0" borderId="0" xfId="9" applyFont="1" applyProtection="1">
      <protection locked="0"/>
    </xf>
    <xf numFmtId="0" fontId="8" fillId="0" borderId="12" xfId="9" applyFont="1" applyBorder="1" applyProtection="1">
      <protection locked="0"/>
    </xf>
    <xf numFmtId="2" fontId="127" fillId="0" borderId="182" xfId="9" applyNumberFormat="1" applyFont="1" applyFill="1" applyBorder="1" applyAlignment="1" applyProtection="1">
      <alignment horizontal="center" vertical="center"/>
    </xf>
    <xf numFmtId="0" fontId="127" fillId="0" borderId="0" xfId="9" applyFont="1" applyProtection="1">
      <protection locked="0"/>
    </xf>
    <xf numFmtId="0" fontId="147" fillId="0" borderId="0" xfId="9" applyFont="1" applyProtection="1">
      <protection locked="0"/>
    </xf>
    <xf numFmtId="0" fontId="127" fillId="0" borderId="0" xfId="9" applyFont="1" applyAlignment="1" applyProtection="1">
      <alignment horizontal="right"/>
      <protection locked="0"/>
    </xf>
    <xf numFmtId="0" fontId="126" fillId="0" borderId="0" xfId="9" applyFont="1" applyBorder="1" applyAlignment="1" applyProtection="1">
      <protection locked="0"/>
    </xf>
    <xf numFmtId="0" fontId="155" fillId="0" borderId="0" xfId="9" applyFont="1" applyProtection="1">
      <protection locked="0"/>
    </xf>
    <xf numFmtId="0" fontId="126" fillId="0" borderId="0" xfId="9" applyFont="1" applyAlignment="1" applyProtection="1">
      <alignment horizontal="right"/>
      <protection locked="0"/>
    </xf>
    <xf numFmtId="0" fontId="126" fillId="0" borderId="0" xfId="9" applyFont="1" applyAlignment="1" applyProtection="1">
      <protection locked="0"/>
    </xf>
    <xf numFmtId="0" fontId="139" fillId="0" borderId="0" xfId="9" applyFont="1" applyAlignment="1" applyProtection="1">
      <alignment horizontal="left"/>
      <protection locked="0"/>
    </xf>
    <xf numFmtId="0" fontId="147" fillId="18" borderId="11" xfId="9" applyFont="1" applyFill="1" applyBorder="1" applyAlignment="1" applyProtection="1">
      <alignment horizontal="center" vertical="center" wrapText="1"/>
      <protection locked="0"/>
    </xf>
    <xf numFmtId="0" fontId="139" fillId="0" borderId="0" xfId="1" applyFont="1" applyProtection="1"/>
    <xf numFmtId="0" fontId="137" fillId="0" borderId="0" xfId="1" applyFont="1" applyProtection="1"/>
    <xf numFmtId="0" fontId="126" fillId="0" borderId="0" xfId="1" applyFont="1" applyProtection="1"/>
    <xf numFmtId="0" fontId="127" fillId="0" borderId="0" xfId="1" applyFont="1" applyProtection="1"/>
    <xf numFmtId="0" fontId="138" fillId="0" borderId="0" xfId="1" applyFont="1" applyAlignment="1" applyProtection="1"/>
    <xf numFmtId="0" fontId="127" fillId="0" borderId="0" xfId="1" applyFont="1" applyAlignment="1" applyProtection="1"/>
    <xf numFmtId="0" fontId="126" fillId="0" borderId="0" xfId="1" applyFont="1" applyBorder="1" applyAlignment="1" applyProtection="1"/>
    <xf numFmtId="0" fontId="127" fillId="0" borderId="0" xfId="1" applyFont="1" applyAlignment="1" applyProtection="1">
      <alignment horizontal="left"/>
    </xf>
    <xf numFmtId="0" fontId="127" fillId="0" borderId="43" xfId="1" applyFont="1" applyBorder="1" applyAlignment="1" applyProtection="1">
      <alignment horizontal="right"/>
    </xf>
    <xf numFmtId="0" fontId="126" fillId="0" borderId="43" xfId="1" applyFont="1" applyBorder="1" applyAlignment="1" applyProtection="1">
      <alignment horizontal="center"/>
    </xf>
    <xf numFmtId="0" fontId="126" fillId="0" borderId="43" xfId="1" applyFont="1" applyBorder="1" applyAlignment="1" applyProtection="1"/>
    <xf numFmtId="0" fontId="126" fillId="0" borderId="0" xfId="1" applyFont="1" applyBorder="1" applyAlignment="1" applyProtection="1">
      <protection locked="0"/>
    </xf>
    <xf numFmtId="0" fontId="126" fillId="0" borderId="43" xfId="1" applyNumberFormat="1" applyFont="1" applyBorder="1" applyAlignment="1" applyProtection="1">
      <alignment horizontal="center"/>
    </xf>
    <xf numFmtId="0" fontId="127" fillId="0" borderId="0" xfId="1" applyFont="1" applyAlignment="1" applyProtection="1">
      <alignment horizontal="left" vertical="top" wrapText="1"/>
    </xf>
    <xf numFmtId="49" fontId="126" fillId="0" borderId="0" xfId="1" applyNumberFormat="1" applyFont="1" applyBorder="1" applyAlignment="1" applyProtection="1"/>
    <xf numFmtId="49" fontId="126" fillId="0" borderId="43" xfId="1" applyNumberFormat="1" applyFont="1" applyBorder="1" applyAlignment="1" applyProtection="1">
      <alignment horizontal="center"/>
    </xf>
    <xf numFmtId="0" fontId="126" fillId="0" borderId="43" xfId="1" applyFont="1" applyBorder="1" applyAlignment="1" applyProtection="1">
      <alignment horizontal="left"/>
    </xf>
    <xf numFmtId="49" fontId="126" fillId="0" borderId="43" xfId="1" applyNumberFormat="1" applyFont="1" applyBorder="1" applyAlignment="1" applyProtection="1"/>
    <xf numFmtId="49" fontId="126" fillId="0" borderId="0" xfId="1" applyNumberFormat="1" applyFont="1" applyBorder="1" applyAlignment="1" applyProtection="1">
      <protection locked="0"/>
    </xf>
    <xf numFmtId="49" fontId="126" fillId="0" borderId="0" xfId="1" applyNumberFormat="1" applyFont="1" applyBorder="1" applyAlignment="1" applyProtection="1">
      <alignment horizontal="center"/>
      <protection locked="0"/>
    </xf>
    <xf numFmtId="0" fontId="126" fillId="0" borderId="0" xfId="1" applyFont="1" applyBorder="1" applyProtection="1"/>
    <xf numFmtId="0" fontId="138" fillId="0" borderId="0" xfId="1" applyFont="1" applyBorder="1" applyAlignment="1" applyProtection="1"/>
    <xf numFmtId="0" fontId="139" fillId="0" borderId="0" xfId="1" applyFont="1" applyBorder="1" applyProtection="1"/>
    <xf numFmtId="0" fontId="139" fillId="6" borderId="3" xfId="1" applyFont="1" applyFill="1" applyBorder="1" applyProtection="1"/>
    <xf numFmtId="0" fontId="142" fillId="6" borderId="4" xfId="1" applyFont="1" applyFill="1" applyBorder="1" applyProtection="1"/>
    <xf numFmtId="0" fontId="139" fillId="6" borderId="4" xfId="1" applyFont="1" applyFill="1" applyBorder="1" applyProtection="1"/>
    <xf numFmtId="0" fontId="126" fillId="6" borderId="4" xfId="1" applyFont="1" applyFill="1" applyBorder="1" applyProtection="1"/>
    <xf numFmtId="0" fontId="126" fillId="6" borderId="31" xfId="1" applyFont="1" applyFill="1" applyBorder="1" applyProtection="1"/>
    <xf numFmtId="0" fontId="126" fillId="6" borderId="12" xfId="1" applyFont="1" applyFill="1" applyBorder="1" applyProtection="1"/>
    <xf numFmtId="0" fontId="126" fillId="6" borderId="0" xfId="1" applyFont="1" applyFill="1" applyBorder="1" applyProtection="1"/>
    <xf numFmtId="0" fontId="126" fillId="6" borderId="38" xfId="1" applyFont="1" applyFill="1" applyBorder="1" applyProtection="1"/>
    <xf numFmtId="0" fontId="126" fillId="6" borderId="13" xfId="1" applyFont="1" applyFill="1" applyBorder="1" applyProtection="1"/>
    <xf numFmtId="0" fontId="139" fillId="6" borderId="0" xfId="1" applyFont="1" applyFill="1" applyBorder="1" applyProtection="1"/>
    <xf numFmtId="0" fontId="126" fillId="0" borderId="0" xfId="1" applyFont="1" applyFill="1" applyBorder="1" applyProtection="1"/>
    <xf numFmtId="0" fontId="139" fillId="0" borderId="0" xfId="1" applyFont="1" applyFill="1" applyBorder="1" applyProtection="1"/>
    <xf numFmtId="0" fontId="142" fillId="0" borderId="0" xfId="1" applyFont="1" applyFill="1" applyBorder="1" applyProtection="1"/>
    <xf numFmtId="0" fontId="126" fillId="0" borderId="0" xfId="1" applyFont="1" applyFill="1" applyBorder="1" applyAlignment="1" applyProtection="1">
      <alignment vertical="top"/>
    </xf>
    <xf numFmtId="0" fontId="142" fillId="6" borderId="4" xfId="1" applyFont="1" applyFill="1" applyBorder="1" applyAlignment="1" applyProtection="1">
      <alignment vertical="center"/>
    </xf>
    <xf numFmtId="0" fontId="126" fillId="6" borderId="0" xfId="1" applyFont="1" applyFill="1" applyBorder="1" applyAlignment="1" applyProtection="1">
      <alignment vertical="top"/>
    </xf>
    <xf numFmtId="0" fontId="126" fillId="6" borderId="168" xfId="1" applyFont="1" applyFill="1" applyBorder="1" applyAlignment="1" applyProtection="1">
      <alignment vertical="top"/>
    </xf>
    <xf numFmtId="0" fontId="126" fillId="6" borderId="13" xfId="1" applyFont="1" applyFill="1" applyBorder="1" applyAlignment="1" applyProtection="1">
      <alignment vertical="top"/>
    </xf>
    <xf numFmtId="0" fontId="126" fillId="6" borderId="9" xfId="1" applyFont="1" applyFill="1" applyBorder="1" applyProtection="1"/>
    <xf numFmtId="0" fontId="126" fillId="6" borderId="1" xfId="1" applyFont="1" applyFill="1" applyBorder="1" applyAlignment="1" applyProtection="1">
      <alignment vertical="top"/>
    </xf>
    <xf numFmtId="0" fontId="139" fillId="6" borderId="1" xfId="1" applyFont="1" applyFill="1" applyBorder="1" applyAlignment="1" applyProtection="1">
      <alignment vertical="top"/>
    </xf>
    <xf numFmtId="0" fontId="126" fillId="6" borderId="10" xfId="1" applyFont="1" applyFill="1" applyBorder="1" applyAlignment="1" applyProtection="1">
      <alignment vertical="top"/>
    </xf>
    <xf numFmtId="0" fontId="126" fillId="6" borderId="170" xfId="1" applyFont="1" applyFill="1" applyBorder="1" applyAlignment="1" applyProtection="1">
      <alignment vertical="top"/>
    </xf>
    <xf numFmtId="0" fontId="132" fillId="18" borderId="2" xfId="1" applyFont="1" applyFill="1" applyBorder="1" applyAlignment="1" applyProtection="1">
      <alignment horizontal="center" vertical="top" wrapText="1" shrinkToFit="1"/>
    </xf>
    <xf numFmtId="0" fontId="132" fillId="18" borderId="8" xfId="1" applyFont="1" applyFill="1" applyBorder="1" applyAlignment="1" applyProtection="1">
      <alignment horizontal="center" vertical="top" wrapText="1" shrinkToFit="1"/>
    </xf>
    <xf numFmtId="0" fontId="126" fillId="0" borderId="170" xfId="1" applyFont="1" applyFill="1" applyBorder="1" applyAlignment="1" applyProtection="1">
      <alignment horizontal="center" vertical="center"/>
      <protection locked="0"/>
    </xf>
    <xf numFmtId="2" fontId="127" fillId="8" borderId="8" xfId="1" applyNumberFormat="1" applyFont="1" applyFill="1" applyBorder="1" applyAlignment="1" applyProtection="1">
      <alignment horizontal="center"/>
    </xf>
    <xf numFmtId="49" fontId="127" fillId="3" borderId="5" xfId="1" applyNumberFormat="1" applyFont="1" applyFill="1" applyBorder="1" applyAlignment="1" applyProtection="1">
      <alignment horizontal="right" vertical="center"/>
    </xf>
    <xf numFmtId="0" fontId="126" fillId="0" borderId="5" xfId="1" applyFont="1" applyBorder="1" applyAlignment="1" applyProtection="1">
      <alignment horizontal="right" vertical="center"/>
    </xf>
    <xf numFmtId="0" fontId="126" fillId="0" borderId="11" xfId="1" applyFont="1" applyBorder="1" applyAlignment="1" applyProtection="1">
      <alignment horizontal="center" vertical="center" wrapText="1" shrinkToFit="1"/>
    </xf>
    <xf numFmtId="2" fontId="126" fillId="0" borderId="1" xfId="1" applyNumberFormat="1" applyFont="1" applyBorder="1" applyAlignment="1" applyProtection="1">
      <alignment horizontal="center" vertical="center" wrapText="1" shrinkToFit="1"/>
    </xf>
    <xf numFmtId="4" fontId="126" fillId="0" borderId="11" xfId="1" applyNumberFormat="1" applyFont="1" applyBorder="1" applyAlignment="1" applyProtection="1">
      <alignment horizontal="center" vertical="center" wrapText="1" shrinkToFit="1"/>
    </xf>
    <xf numFmtId="2" fontId="127" fillId="0" borderId="10" xfId="1" applyNumberFormat="1" applyFont="1" applyBorder="1" applyAlignment="1" applyProtection="1">
      <alignment horizontal="center" vertical="center" wrapText="1" shrinkToFit="1"/>
    </xf>
    <xf numFmtId="0" fontId="126" fillId="0" borderId="8" xfId="1" applyFont="1" applyBorder="1" applyAlignment="1" applyProtection="1">
      <alignment horizontal="center" vertical="center" wrapText="1" shrinkToFit="1"/>
    </xf>
    <xf numFmtId="2" fontId="150" fillId="9" borderId="11" xfId="1" applyNumberFormat="1" applyFont="1" applyFill="1" applyBorder="1" applyAlignment="1" applyProtection="1">
      <alignment horizontal="center"/>
    </xf>
    <xf numFmtId="0" fontId="127" fillId="22" borderId="5" xfId="1" applyFont="1" applyFill="1" applyBorder="1" applyAlignment="1" applyProtection="1">
      <alignment horizontal="right"/>
    </xf>
    <xf numFmtId="0" fontId="127" fillId="22" borderId="6" xfId="1" applyFont="1" applyFill="1" applyBorder="1" applyProtection="1"/>
    <xf numFmtId="0" fontId="127" fillId="22" borderId="6" xfId="1" applyFont="1" applyFill="1" applyBorder="1" applyAlignment="1" applyProtection="1">
      <alignment horizontal="left" vertical="top" wrapText="1"/>
    </xf>
    <xf numFmtId="0" fontId="127" fillId="22" borderId="11" xfId="1" applyFont="1" applyFill="1" applyBorder="1" applyAlignment="1" applyProtection="1">
      <alignment horizontal="center"/>
    </xf>
    <xf numFmtId="1" fontId="127" fillId="22" borderId="11" xfId="1" applyNumberFormat="1" applyFont="1" applyFill="1" applyBorder="1" applyAlignment="1" applyProtection="1">
      <alignment horizontal="center"/>
    </xf>
    <xf numFmtId="2" fontId="127" fillId="22" borderId="7" xfId="1" applyNumberFormat="1" applyFont="1" applyFill="1" applyBorder="1" applyAlignment="1" applyProtection="1">
      <alignment horizontal="center"/>
    </xf>
    <xf numFmtId="49" fontId="124" fillId="0" borderId="11" xfId="1" applyNumberFormat="1" applyFont="1" applyBorder="1" applyAlignment="1" applyProtection="1">
      <alignment horizontal="right" vertical="top"/>
    </xf>
    <xf numFmtId="0" fontId="126" fillId="0" borderId="11" xfId="1" applyFont="1" applyBorder="1" applyAlignment="1" applyProtection="1">
      <alignment horizontal="center" vertical="center"/>
    </xf>
    <xf numFmtId="0" fontId="126" fillId="0" borderId="7" xfId="1" applyFont="1" applyBorder="1" applyAlignment="1" applyProtection="1">
      <alignment horizontal="center" vertical="center"/>
    </xf>
    <xf numFmtId="2" fontId="127" fillId="0" borderId="11" xfId="1" applyNumberFormat="1" applyFont="1" applyBorder="1" applyAlignment="1" applyProtection="1">
      <alignment horizontal="center" vertical="center"/>
    </xf>
    <xf numFmtId="49" fontId="127" fillId="22" borderId="5" xfId="1" applyNumberFormat="1" applyFont="1" applyFill="1" applyBorder="1" applyAlignment="1" applyProtection="1">
      <alignment horizontal="right"/>
    </xf>
    <xf numFmtId="49" fontId="124" fillId="0" borderId="22" xfId="1" applyNumberFormat="1" applyFont="1" applyBorder="1" applyAlignment="1" applyProtection="1">
      <alignment horizontal="right" vertical="top"/>
    </xf>
    <xf numFmtId="49" fontId="124" fillId="0" borderId="8" xfId="1" applyNumberFormat="1" applyFont="1" applyBorder="1" applyAlignment="1" applyProtection="1">
      <alignment horizontal="right" vertical="top"/>
    </xf>
    <xf numFmtId="0" fontId="126" fillId="0" borderId="6" xfId="1" applyFont="1" applyFill="1" applyBorder="1" applyAlignment="1" applyProtection="1">
      <alignment horizontal="center" vertical="top"/>
    </xf>
    <xf numFmtId="2" fontId="126" fillId="0" borderId="6" xfId="1" applyNumberFormat="1" applyFont="1" applyFill="1" applyBorder="1" applyAlignment="1" applyProtection="1">
      <alignment horizontal="center"/>
    </xf>
    <xf numFmtId="0" fontId="126" fillId="0" borderId="6" xfId="1" applyFont="1" applyFill="1" applyBorder="1" applyAlignment="1" applyProtection="1">
      <alignment horizontal="left"/>
    </xf>
    <xf numFmtId="2" fontId="126" fillId="0" borderId="3" xfId="1" applyNumberFormat="1" applyFont="1" applyFill="1" applyBorder="1" applyAlignment="1" applyProtection="1">
      <alignment horizontal="center"/>
    </xf>
    <xf numFmtId="0" fontId="127" fillId="0" borderId="7" xfId="1" applyFont="1" applyBorder="1" applyAlignment="1" applyProtection="1">
      <alignment horizontal="right"/>
    </xf>
    <xf numFmtId="2" fontId="127" fillId="0" borderId="11" xfId="1" applyNumberFormat="1" applyFont="1" applyFill="1" applyBorder="1" applyAlignment="1" applyProtection="1">
      <alignment horizontal="center"/>
    </xf>
    <xf numFmtId="0" fontId="126" fillId="0" borderId="9" xfId="1" applyFont="1" applyBorder="1" applyAlignment="1" applyProtection="1">
      <alignment horizontal="center"/>
    </xf>
    <xf numFmtId="0" fontId="126" fillId="0" borderId="1" xfId="1" applyFont="1" applyBorder="1" applyAlignment="1" applyProtection="1">
      <alignment horizontal="center"/>
    </xf>
    <xf numFmtId="2" fontId="126" fillId="0" borderId="4" xfId="1" applyNumberFormat="1" applyFont="1" applyFill="1" applyBorder="1" applyAlignment="1" applyProtection="1">
      <alignment horizontal="center"/>
    </xf>
    <xf numFmtId="2" fontId="127" fillId="0" borderId="22" xfId="1" applyNumberFormat="1" applyFont="1" applyFill="1" applyBorder="1" applyAlignment="1" applyProtection="1">
      <alignment horizontal="center"/>
    </xf>
    <xf numFmtId="2" fontId="127" fillId="8" borderId="11" xfId="1" applyNumberFormat="1" applyFont="1" applyFill="1" applyBorder="1" applyAlignment="1" applyProtection="1">
      <alignment horizontal="center"/>
    </xf>
    <xf numFmtId="49" fontId="124" fillId="0" borderId="11" xfId="1" applyNumberFormat="1" applyFont="1" applyBorder="1" applyAlignment="1" applyProtection="1">
      <alignment horizontal="right" vertical="center"/>
    </xf>
    <xf numFmtId="1" fontId="126" fillId="0" borderId="11" xfId="1" applyNumberFormat="1" applyFont="1" applyBorder="1" applyAlignment="1" applyProtection="1">
      <alignment horizontal="center" vertical="center"/>
    </xf>
    <xf numFmtId="49" fontId="124" fillId="0" borderId="2" xfId="1" applyNumberFormat="1" applyFont="1" applyBorder="1" applyAlignment="1" applyProtection="1">
      <alignment horizontal="right" vertical="center"/>
    </xf>
    <xf numFmtId="0" fontId="124" fillId="0" borderId="15" xfId="1" applyFont="1" applyBorder="1" applyAlignment="1" applyProtection="1">
      <alignment horizontal="left" vertical="center" wrapText="1"/>
    </xf>
    <xf numFmtId="0" fontId="124" fillId="0" borderId="17" xfId="1" applyFont="1" applyBorder="1" applyAlignment="1" applyProtection="1">
      <alignment horizontal="left" vertical="center" wrapText="1"/>
    </xf>
    <xf numFmtId="0" fontId="126" fillId="0" borderId="14" xfId="1" applyFont="1" applyBorder="1" applyAlignment="1" applyProtection="1">
      <alignment horizontal="center" vertical="center"/>
    </xf>
    <xf numFmtId="0" fontId="126" fillId="0" borderId="17" xfId="1" applyFont="1" applyBorder="1" applyAlignment="1" applyProtection="1">
      <alignment horizontal="center" vertical="center"/>
    </xf>
    <xf numFmtId="2" fontId="127" fillId="0" borderId="14" xfId="1" applyNumberFormat="1" applyFont="1" applyBorder="1" applyAlignment="1" applyProtection="1">
      <alignment horizontal="center" vertical="center"/>
    </xf>
    <xf numFmtId="0" fontId="124" fillId="0" borderId="23" xfId="1" applyFont="1" applyBorder="1" applyAlignment="1" applyProtection="1">
      <alignment horizontal="left" vertical="center" wrapText="1"/>
    </xf>
    <xf numFmtId="0" fontId="124" fillId="0" borderId="26" xfId="1" applyFont="1" applyBorder="1" applyAlignment="1" applyProtection="1">
      <alignment horizontal="left" vertical="center" wrapText="1"/>
    </xf>
    <xf numFmtId="0" fontId="126" fillId="0" borderId="24" xfId="1" applyFont="1" applyBorder="1" applyAlignment="1" applyProtection="1">
      <alignment horizontal="center" vertical="center"/>
    </xf>
    <xf numFmtId="0" fontId="126" fillId="0" borderId="26" xfId="1" applyFont="1" applyBorder="1" applyAlignment="1" applyProtection="1">
      <alignment horizontal="center" vertical="center"/>
    </xf>
    <xf numFmtId="2" fontId="127" fillId="0" borderId="24" xfId="1" applyNumberFormat="1" applyFont="1" applyBorder="1" applyAlignment="1" applyProtection="1">
      <alignment horizontal="center" vertical="center"/>
    </xf>
    <xf numFmtId="0" fontId="124" fillId="0" borderId="27" xfId="1" applyFont="1" applyBorder="1" applyAlignment="1" applyProtection="1">
      <alignment horizontal="left" vertical="center" wrapText="1"/>
    </xf>
    <xf numFmtId="0" fontId="124" fillId="0" borderId="30" xfId="1" applyFont="1" applyBorder="1" applyAlignment="1" applyProtection="1">
      <alignment horizontal="left" vertical="center" wrapText="1"/>
    </xf>
    <xf numFmtId="0" fontId="126" fillId="0" borderId="28" xfId="1" applyFont="1" applyBorder="1" applyAlignment="1" applyProtection="1">
      <alignment horizontal="center" vertical="center"/>
    </xf>
    <xf numFmtId="0" fontId="126" fillId="0" borderId="30" xfId="1" applyFont="1" applyBorder="1" applyAlignment="1" applyProtection="1">
      <alignment horizontal="center" vertical="center"/>
    </xf>
    <xf numFmtId="2" fontId="127" fillId="0" borderId="28" xfId="1" applyNumberFormat="1" applyFont="1" applyBorder="1" applyAlignment="1" applyProtection="1">
      <alignment horizontal="center" vertical="center"/>
    </xf>
    <xf numFmtId="0" fontId="126" fillId="0" borderId="1" xfId="1" applyFont="1" applyFill="1" applyBorder="1" applyAlignment="1" applyProtection="1">
      <alignment horizontal="left"/>
    </xf>
    <xf numFmtId="0" fontId="126" fillId="0" borderId="10" xfId="1" applyFont="1" applyFill="1" applyBorder="1" applyAlignment="1" applyProtection="1">
      <alignment horizontal="left"/>
    </xf>
    <xf numFmtId="0" fontId="127" fillId="2" borderId="5" xfId="1" applyFont="1" applyFill="1" applyBorder="1" applyAlignment="1" applyProtection="1">
      <protection locked="0"/>
    </xf>
    <xf numFmtId="0" fontId="127" fillId="2" borderId="6" xfId="1" applyFont="1" applyFill="1" applyBorder="1" applyAlignment="1" applyProtection="1">
      <protection locked="0"/>
    </xf>
    <xf numFmtId="0" fontId="127" fillId="2" borderId="7" xfId="1" applyFont="1" applyFill="1" applyBorder="1" applyAlignment="1" applyProtection="1">
      <protection locked="0"/>
    </xf>
    <xf numFmtId="0" fontId="132" fillId="18" borderId="2" xfId="1" applyFont="1" applyFill="1" applyBorder="1" applyAlignment="1" applyProtection="1">
      <alignment horizontal="center" vertical="top" wrapText="1" shrinkToFit="1"/>
      <protection locked="0"/>
    </xf>
    <xf numFmtId="0" fontId="132" fillId="18" borderId="8" xfId="1" applyFont="1" applyFill="1" applyBorder="1" applyAlignment="1" applyProtection="1">
      <alignment horizontal="center" vertical="top" wrapText="1" shrinkToFit="1"/>
      <protection locked="0"/>
    </xf>
    <xf numFmtId="0" fontId="127" fillId="22" borderId="5" xfId="1" applyFont="1" applyFill="1" applyBorder="1" applyAlignment="1" applyProtection="1">
      <alignment horizontal="left"/>
      <protection locked="0"/>
    </xf>
    <xf numFmtId="2" fontId="127" fillId="8" borderId="11" xfId="1" applyNumberFormat="1" applyFont="1" applyFill="1" applyBorder="1" applyAlignment="1" applyProtection="1">
      <alignment horizontal="center"/>
      <protection locked="0"/>
    </xf>
    <xf numFmtId="0" fontId="126" fillId="0" borderId="4" xfId="1" applyFont="1" applyBorder="1" applyProtection="1">
      <protection locked="0"/>
    </xf>
    <xf numFmtId="0" fontId="126" fillId="0" borderId="31" xfId="1" applyFont="1" applyBorder="1" applyProtection="1">
      <protection locked="0"/>
    </xf>
    <xf numFmtId="2" fontId="127" fillId="10" borderId="11" xfId="1" applyNumberFormat="1" applyFont="1" applyFill="1" applyBorder="1" applyAlignment="1" applyProtection="1">
      <alignment horizontal="center" vertical="center"/>
      <protection locked="0"/>
    </xf>
    <xf numFmtId="49" fontId="126" fillId="0" borderId="0" xfId="1" applyNumberFormat="1" applyFont="1" applyBorder="1" applyAlignment="1" applyProtection="1">
      <alignment vertical="center"/>
    </xf>
    <xf numFmtId="0" fontId="127" fillId="22" borderId="4" xfId="1" applyFont="1" applyFill="1" applyBorder="1" applyProtection="1">
      <protection locked="0"/>
    </xf>
    <xf numFmtId="0" fontId="127" fillId="22" borderId="12" xfId="1" applyFont="1" applyFill="1" applyBorder="1" applyAlignment="1" applyProtection="1">
      <alignment horizontal="left"/>
      <protection locked="0"/>
    </xf>
    <xf numFmtId="0" fontId="138" fillId="0" borderId="1" xfId="1" applyFont="1" applyBorder="1" applyAlignment="1" applyProtection="1"/>
    <xf numFmtId="0" fontId="126" fillId="0" borderId="9" xfId="1" applyFont="1" applyBorder="1" applyAlignment="1" applyProtection="1">
      <alignment horizontal="center" vertical="top" wrapText="1"/>
    </xf>
    <xf numFmtId="0" fontId="126" fillId="0" borderId="8" xfId="1" applyNumberFormat="1" applyFont="1" applyBorder="1" applyAlignment="1" applyProtection="1">
      <alignment horizontal="center" vertical="top" wrapText="1"/>
    </xf>
    <xf numFmtId="0" fontId="126" fillId="0" borderId="10" xfId="1" applyNumberFormat="1" applyFont="1" applyBorder="1" applyAlignment="1" applyProtection="1">
      <alignment horizontal="center" vertical="top" wrapText="1"/>
    </xf>
    <xf numFmtId="0" fontId="126" fillId="0" borderId="3" xfId="1" applyFont="1" applyBorder="1" applyProtection="1"/>
    <xf numFmtId="49" fontId="126" fillId="0" borderId="31" xfId="1" applyNumberFormat="1" applyFont="1" applyBorder="1" applyProtection="1"/>
    <xf numFmtId="49" fontId="126" fillId="0" borderId="4" xfId="1" applyNumberFormat="1" applyFont="1" applyBorder="1" applyProtection="1">
      <protection locked="0"/>
    </xf>
    <xf numFmtId="49" fontId="126" fillId="0" borderId="3" xfId="1" applyNumberFormat="1" applyFont="1" applyBorder="1" applyProtection="1">
      <protection locked="0"/>
    </xf>
    <xf numFmtId="49" fontId="126" fillId="0" borderId="2" xfId="1" applyNumberFormat="1" applyFont="1" applyBorder="1" applyProtection="1">
      <protection locked="0"/>
    </xf>
    <xf numFmtId="0" fontId="127" fillId="0" borderId="3" xfId="1" applyNumberFormat="1" applyFont="1" applyBorder="1" applyAlignment="1" applyProtection="1">
      <protection locked="0"/>
    </xf>
    <xf numFmtId="0" fontId="127" fillId="0" borderId="31" xfId="1" applyNumberFormat="1" applyFont="1" applyBorder="1" applyAlignment="1" applyProtection="1">
      <protection locked="0"/>
    </xf>
    <xf numFmtId="49" fontId="126" fillId="0" borderId="3" xfId="1" applyNumberFormat="1" applyFont="1" applyFill="1" applyBorder="1" applyProtection="1"/>
    <xf numFmtId="0" fontId="126" fillId="0" borderId="19" xfId="1" applyFont="1" applyFill="1" applyBorder="1" applyAlignment="1" applyProtection="1">
      <alignment horizontal="center"/>
    </xf>
    <xf numFmtId="0" fontId="125" fillId="0" borderId="14" xfId="1" applyFont="1" applyBorder="1" applyProtection="1"/>
    <xf numFmtId="0" fontId="126" fillId="0" borderId="15" xfId="1" applyFont="1" applyBorder="1" applyProtection="1"/>
    <xf numFmtId="0" fontId="125" fillId="0" borderId="17" xfId="1" applyFont="1" applyBorder="1" applyProtection="1"/>
    <xf numFmtId="49" fontId="126" fillId="0" borderId="4" xfId="1" applyNumberFormat="1" applyFont="1" applyBorder="1" applyProtection="1"/>
    <xf numFmtId="49" fontId="126" fillId="0" borderId="185" xfId="1" applyNumberFormat="1" applyFont="1" applyFill="1" applyBorder="1" applyProtection="1">
      <protection locked="0"/>
    </xf>
    <xf numFmtId="49" fontId="126" fillId="0" borderId="186" xfId="1" applyNumberFormat="1" applyFont="1" applyFill="1" applyBorder="1" applyProtection="1">
      <protection locked="0"/>
    </xf>
    <xf numFmtId="0" fontId="126" fillId="0" borderId="27" xfId="1" applyFont="1" applyFill="1" applyBorder="1" applyAlignment="1" applyProtection="1">
      <alignment horizontal="center"/>
    </xf>
    <xf numFmtId="0" fontId="126" fillId="0" borderId="15" xfId="1" applyFont="1" applyFill="1" applyBorder="1" applyAlignment="1" applyProtection="1">
      <alignment horizontal="center"/>
    </xf>
    <xf numFmtId="0" fontId="126" fillId="0" borderId="23" xfId="1" applyFont="1" applyFill="1" applyBorder="1" applyAlignment="1" applyProtection="1">
      <alignment horizontal="center"/>
    </xf>
    <xf numFmtId="0" fontId="127" fillId="0" borderId="174" xfId="1" applyNumberFormat="1" applyFont="1" applyFill="1" applyBorder="1" applyAlignment="1" applyProtection="1">
      <protection locked="0"/>
    </xf>
    <xf numFmtId="0" fontId="127" fillId="0" borderId="175" xfId="1" applyNumberFormat="1" applyFont="1" applyFill="1" applyBorder="1" applyAlignment="1" applyProtection="1">
      <protection locked="0"/>
    </xf>
    <xf numFmtId="0" fontId="127" fillId="0" borderId="192" xfId="1" applyNumberFormat="1" applyFont="1" applyFill="1" applyBorder="1" applyAlignment="1" applyProtection="1">
      <protection locked="0"/>
    </xf>
    <xf numFmtId="0" fontId="127" fillId="0" borderId="193" xfId="1" applyNumberFormat="1" applyFont="1" applyFill="1" applyBorder="1" applyAlignment="1" applyProtection="1">
      <protection locked="0"/>
    </xf>
    <xf numFmtId="0" fontId="127" fillId="0" borderId="185" xfId="1" applyNumberFormat="1" applyFont="1" applyFill="1" applyBorder="1" applyAlignment="1" applyProtection="1">
      <protection locked="0"/>
    </xf>
    <xf numFmtId="0" fontId="127" fillId="0" borderId="186" xfId="1" applyNumberFormat="1" applyFont="1" applyFill="1" applyBorder="1" applyAlignment="1" applyProtection="1">
      <protection locked="0"/>
    </xf>
    <xf numFmtId="0" fontId="127" fillId="0" borderId="190" xfId="1" applyNumberFormat="1" applyFont="1" applyFill="1" applyBorder="1" applyAlignment="1" applyProtection="1">
      <protection locked="0"/>
    </xf>
    <xf numFmtId="0" fontId="127" fillId="0" borderId="191" xfId="1" applyNumberFormat="1" applyFont="1" applyFill="1" applyBorder="1" applyAlignment="1" applyProtection="1">
      <protection locked="0"/>
    </xf>
    <xf numFmtId="0" fontId="126" fillId="0" borderId="21" xfId="1" applyFont="1" applyFill="1" applyBorder="1" applyAlignment="1" applyProtection="1">
      <alignment horizontal="center"/>
    </xf>
    <xf numFmtId="49" fontId="126" fillId="0" borderId="31" xfId="1" applyNumberFormat="1" applyFont="1" applyFill="1" applyBorder="1" applyProtection="1"/>
    <xf numFmtId="0" fontId="126" fillId="0" borderId="30" xfId="1" applyFont="1" applyFill="1" applyBorder="1" applyAlignment="1" applyProtection="1">
      <alignment horizontal="center"/>
    </xf>
    <xf numFmtId="0" fontId="126" fillId="0" borderId="17" xfId="1" applyFont="1" applyFill="1" applyBorder="1" applyAlignment="1" applyProtection="1">
      <alignment horizontal="center"/>
    </xf>
    <xf numFmtId="0" fontId="126" fillId="0" borderId="26" xfId="1" applyFont="1" applyFill="1" applyBorder="1" applyAlignment="1" applyProtection="1">
      <alignment horizontal="center"/>
    </xf>
    <xf numFmtId="0" fontId="126" fillId="0" borderId="194" xfId="1" applyFont="1" applyFill="1" applyBorder="1" applyAlignment="1" applyProtection="1">
      <alignment horizontal="center"/>
      <protection locked="0"/>
    </xf>
    <xf numFmtId="0" fontId="126" fillId="0" borderId="195" xfId="1" applyFont="1" applyFill="1" applyBorder="1" applyAlignment="1" applyProtection="1">
      <alignment horizontal="center"/>
      <protection locked="0"/>
    </xf>
    <xf numFmtId="49" fontId="126" fillId="0" borderId="196" xfId="1" applyNumberFormat="1" applyFont="1" applyFill="1" applyBorder="1" applyAlignment="1" applyProtection="1">
      <alignment horizontal="center"/>
      <protection locked="0"/>
    </xf>
    <xf numFmtId="49" fontId="126" fillId="0" borderId="187" xfId="1" applyNumberFormat="1" applyFont="1" applyFill="1" applyBorder="1" applyAlignment="1" applyProtection="1">
      <alignment horizontal="center"/>
      <protection locked="0"/>
    </xf>
    <xf numFmtId="0" fontId="126" fillId="0" borderId="197" xfId="1" applyFont="1" applyFill="1" applyBorder="1" applyAlignment="1" applyProtection="1">
      <alignment horizontal="center"/>
      <protection locked="0"/>
    </xf>
    <xf numFmtId="0" fontId="126" fillId="0" borderId="196" xfId="1" applyFont="1" applyFill="1" applyBorder="1" applyAlignment="1" applyProtection="1">
      <alignment horizontal="center"/>
      <protection locked="0"/>
    </xf>
    <xf numFmtId="49" fontId="126" fillId="0" borderId="198" xfId="1" applyNumberFormat="1" applyFont="1" applyFill="1" applyBorder="1" applyProtection="1">
      <protection locked="0"/>
    </xf>
    <xf numFmtId="0" fontId="126" fillId="0" borderId="199" xfId="1" applyFont="1" applyFill="1" applyBorder="1" applyAlignment="1" applyProtection="1">
      <alignment horizontal="center"/>
      <protection locked="0"/>
    </xf>
    <xf numFmtId="0" fontId="127" fillId="0" borderId="0" xfId="1" applyFont="1" applyBorder="1" applyAlignment="1" applyProtection="1">
      <alignment horizontal="center" vertical="top" wrapText="1"/>
    </xf>
    <xf numFmtId="0" fontId="127" fillId="0" borderId="11" xfId="1" applyFont="1" applyBorder="1" applyAlignment="1" applyProtection="1">
      <alignment horizontal="center" vertical="top" wrapText="1"/>
    </xf>
    <xf numFmtId="0" fontId="127" fillId="0" borderId="0" xfId="1" applyFont="1" applyBorder="1" applyAlignment="1" applyProtection="1">
      <alignment vertical="top"/>
    </xf>
    <xf numFmtId="0" fontId="127" fillId="0" borderId="0" xfId="1" applyFont="1" applyBorder="1" applyAlignment="1" applyProtection="1">
      <alignment vertical="top" wrapText="1"/>
    </xf>
    <xf numFmtId="0" fontId="127" fillId="0" borderId="11" xfId="1" applyFont="1" applyBorder="1" applyAlignment="1" applyProtection="1">
      <alignment horizontal="center"/>
    </xf>
    <xf numFmtId="0" fontId="126" fillId="0" borderId="15" xfId="1" applyFont="1" applyBorder="1" applyAlignment="1" applyProtection="1">
      <alignment vertical="center"/>
    </xf>
    <xf numFmtId="0" fontId="126" fillId="0" borderId="16" xfId="1" applyFont="1" applyBorder="1" applyAlignment="1" applyProtection="1">
      <alignment vertical="center"/>
    </xf>
    <xf numFmtId="0" fontId="126" fillId="0" borderId="16" xfId="1" applyFont="1" applyBorder="1" applyAlignment="1" applyProtection="1">
      <alignment vertical="top" wrapText="1"/>
    </xf>
    <xf numFmtId="0" fontId="126" fillId="0" borderId="17" xfId="1" applyFont="1" applyBorder="1" applyAlignment="1" applyProtection="1">
      <alignment vertical="top" wrapText="1"/>
    </xf>
    <xf numFmtId="0" fontId="126" fillId="0" borderId="27" xfId="1" applyFont="1" applyBorder="1" applyAlignment="1" applyProtection="1">
      <alignment vertical="center"/>
    </xf>
    <xf numFmtId="0" fontId="126" fillId="0" borderId="29" xfId="1" applyFont="1" applyBorder="1" applyAlignment="1" applyProtection="1">
      <alignment vertical="center"/>
    </xf>
    <xf numFmtId="0" fontId="126" fillId="0" borderId="29" xfId="1" applyFont="1" applyBorder="1" applyAlignment="1" applyProtection="1">
      <alignment vertical="top" wrapText="1"/>
    </xf>
    <xf numFmtId="0" fontId="126" fillId="0" borderId="30" xfId="1" applyFont="1" applyBorder="1" applyAlignment="1" applyProtection="1">
      <alignment vertical="top" wrapText="1"/>
    </xf>
    <xf numFmtId="0" fontId="126" fillId="0" borderId="11" xfId="1" applyFont="1" applyBorder="1" applyAlignment="1" applyProtection="1">
      <alignment vertical="center"/>
    </xf>
    <xf numFmtId="0" fontId="126" fillId="0" borderId="11" xfId="1" applyFont="1" applyBorder="1" applyAlignment="1" applyProtection="1">
      <alignment vertical="top" wrapText="1"/>
    </xf>
    <xf numFmtId="0" fontId="127" fillId="0" borderId="0" xfId="1" applyNumberFormat="1" applyFont="1" applyBorder="1" applyAlignment="1" applyProtection="1">
      <alignment horizontal="center"/>
    </xf>
    <xf numFmtId="0" fontId="126" fillId="0" borderId="0" xfId="1" applyFont="1" applyAlignment="1" applyProtection="1">
      <alignment vertical="center"/>
    </xf>
    <xf numFmtId="0" fontId="126" fillId="0" borderId="23" xfId="1" applyFont="1" applyBorder="1" applyAlignment="1" applyProtection="1">
      <alignment vertical="center"/>
    </xf>
    <xf numFmtId="0" fontId="126" fillId="0" borderId="25" xfId="1" applyFont="1" applyBorder="1" applyAlignment="1" applyProtection="1">
      <alignment vertical="center"/>
    </xf>
    <xf numFmtId="0" fontId="126" fillId="0" borderId="25" xfId="1" applyFont="1" applyBorder="1" applyAlignment="1" applyProtection="1">
      <alignment vertical="top" wrapText="1"/>
    </xf>
    <xf numFmtId="0" fontId="126" fillId="0" borderId="26" xfId="1" applyFont="1" applyBorder="1" applyAlignment="1" applyProtection="1">
      <alignment vertical="top" wrapText="1"/>
    </xf>
    <xf numFmtId="0" fontId="126" fillId="0" borderId="28" xfId="1" applyFont="1" applyBorder="1" applyAlignment="1" applyProtection="1">
      <alignment vertical="center"/>
    </xf>
    <xf numFmtId="0" fontId="126" fillId="0" borderId="27" xfId="1" applyFont="1" applyBorder="1" applyAlignment="1" applyProtection="1">
      <alignment vertical="top" wrapText="1"/>
    </xf>
    <xf numFmtId="0" fontId="126" fillId="0" borderId="0" xfId="1" applyFont="1" applyBorder="1" applyAlignment="1" applyProtection="1">
      <alignment vertical="center"/>
    </xf>
    <xf numFmtId="0" fontId="126" fillId="0" borderId="0" xfId="1" applyFont="1" applyBorder="1" applyAlignment="1" applyProtection="1">
      <alignment vertical="top" wrapText="1"/>
    </xf>
    <xf numFmtId="2" fontId="162" fillId="0" borderId="0" xfId="1" applyNumberFormat="1" applyFont="1" applyBorder="1" applyAlignment="1" applyProtection="1">
      <alignment horizontal="center" vertical="top" wrapText="1"/>
    </xf>
    <xf numFmtId="1" fontId="162" fillId="0" borderId="0" xfId="1" applyNumberFormat="1" applyFont="1" applyBorder="1" applyAlignment="1" applyProtection="1">
      <alignment horizontal="center"/>
    </xf>
    <xf numFmtId="0" fontId="152" fillId="0" borderId="0" xfId="1" applyFont="1" applyBorder="1" applyAlignment="1" applyProtection="1">
      <alignment horizontal="center" vertical="top" wrapText="1"/>
    </xf>
    <xf numFmtId="0" fontId="126" fillId="0" borderId="0" xfId="1" applyFont="1" applyBorder="1" applyAlignment="1" applyProtection="1">
      <alignment horizontal="center" vertical="top" wrapText="1"/>
    </xf>
    <xf numFmtId="0" fontId="163" fillId="0" borderId="0" xfId="1" applyFont="1" applyBorder="1" applyAlignment="1" applyProtection="1">
      <alignment horizontal="right" vertical="center"/>
      <protection locked="0"/>
    </xf>
    <xf numFmtId="0" fontId="164" fillId="0" borderId="0" xfId="1" applyFont="1" applyAlignment="1" applyProtection="1">
      <alignment vertical="center"/>
      <protection locked="0"/>
    </xf>
    <xf numFmtId="0" fontId="163" fillId="0" borderId="0" xfId="1" applyFont="1" applyBorder="1" applyAlignment="1" applyProtection="1">
      <alignment vertical="center"/>
      <protection locked="0"/>
    </xf>
    <xf numFmtId="0" fontId="163" fillId="0" borderId="0" xfId="1" applyFont="1" applyBorder="1" applyAlignment="1" applyProtection="1">
      <alignment vertical="center"/>
    </xf>
    <xf numFmtId="0" fontId="127" fillId="0" borderId="3" xfId="1" applyFont="1" applyBorder="1" applyProtection="1">
      <protection locked="0"/>
    </xf>
    <xf numFmtId="0" fontId="139" fillId="0" borderId="4" xfId="1" applyFont="1" applyBorder="1" applyProtection="1">
      <protection locked="0"/>
    </xf>
    <xf numFmtId="0" fontId="127" fillId="0" borderId="4" xfId="1" applyFont="1" applyBorder="1" applyProtection="1">
      <protection locked="0"/>
    </xf>
    <xf numFmtId="0" fontId="126" fillId="0" borderId="12" xfId="1" applyFont="1" applyBorder="1" applyProtection="1">
      <protection locked="0"/>
    </xf>
    <xf numFmtId="0" fontId="139" fillId="0" borderId="0" xfId="1" applyFont="1" applyBorder="1" applyProtection="1">
      <protection locked="0"/>
    </xf>
    <xf numFmtId="0" fontId="126" fillId="0" borderId="0" xfId="1" applyFont="1" applyBorder="1" applyProtection="1">
      <protection locked="0"/>
    </xf>
    <xf numFmtId="0" fontId="126" fillId="0" borderId="45" xfId="1" applyFont="1" applyBorder="1" applyProtection="1">
      <protection locked="0"/>
    </xf>
    <xf numFmtId="0" fontId="139" fillId="0" borderId="45" xfId="1" applyFont="1" applyBorder="1" applyProtection="1">
      <protection locked="0"/>
    </xf>
    <xf numFmtId="0" fontId="126" fillId="0" borderId="46" xfId="1" applyFont="1" applyBorder="1" applyProtection="1">
      <protection locked="0"/>
    </xf>
    <xf numFmtId="0" fontId="126" fillId="0" borderId="47" xfId="1" applyFont="1" applyBorder="1" applyProtection="1">
      <protection locked="0"/>
    </xf>
    <xf numFmtId="0" fontId="126" fillId="0" borderId="13" xfId="1" applyFont="1" applyBorder="1" applyProtection="1">
      <protection locked="0"/>
    </xf>
    <xf numFmtId="0" fontId="126" fillId="0" borderId="0" xfId="1" applyFont="1" applyProtection="1">
      <protection locked="0"/>
    </xf>
    <xf numFmtId="0" fontId="165" fillId="0" borderId="0" xfId="1" applyFont="1" applyBorder="1" applyProtection="1">
      <protection locked="0"/>
    </xf>
    <xf numFmtId="49" fontId="126" fillId="0" borderId="0" xfId="1" applyNumberFormat="1" applyFont="1" applyBorder="1" applyAlignment="1" applyProtection="1">
      <alignment vertical="center"/>
      <protection locked="0"/>
    </xf>
    <xf numFmtId="0" fontId="138" fillId="0" borderId="0" xfId="1" applyFont="1" applyBorder="1" applyAlignment="1" applyProtection="1">
      <protection locked="0"/>
    </xf>
    <xf numFmtId="0" fontId="138" fillId="0" borderId="1" xfId="1" applyFont="1" applyBorder="1" applyAlignment="1" applyProtection="1">
      <protection locked="0"/>
    </xf>
    <xf numFmtId="0" fontId="127" fillId="0" borderId="4" xfId="1" applyFont="1" applyBorder="1" applyAlignment="1" applyProtection="1">
      <protection locked="0"/>
    </xf>
    <xf numFmtId="0" fontId="127" fillId="0" borderId="31" xfId="1" applyFont="1" applyBorder="1" applyAlignment="1" applyProtection="1">
      <protection locked="0"/>
    </xf>
    <xf numFmtId="0" fontId="127" fillId="0" borderId="3" xfId="1" applyFont="1" applyBorder="1" applyAlignment="1" applyProtection="1">
      <protection locked="0"/>
    </xf>
    <xf numFmtId="0" fontId="126" fillId="0" borderId="12" xfId="1" applyFont="1" applyBorder="1" applyAlignment="1" applyProtection="1">
      <protection locked="0"/>
    </xf>
    <xf numFmtId="0" fontId="124" fillId="0" borderId="0" xfId="1" applyFont="1" applyBorder="1" applyAlignment="1" applyProtection="1">
      <protection locked="0"/>
    </xf>
    <xf numFmtId="0" fontId="124" fillId="0" borderId="13" xfId="1" applyFont="1" applyBorder="1" applyAlignment="1" applyProtection="1">
      <protection locked="0"/>
    </xf>
    <xf numFmtId="0" fontId="124" fillId="0" borderId="0" xfId="1" applyFont="1" applyBorder="1" applyAlignment="1" applyProtection="1">
      <alignment horizontal="left"/>
      <protection locked="0"/>
    </xf>
    <xf numFmtId="0" fontId="126" fillId="0" borderId="13" xfId="1" applyFont="1" applyBorder="1" applyAlignment="1" applyProtection="1">
      <alignment horizontal="center"/>
      <protection locked="0"/>
    </xf>
    <xf numFmtId="0" fontId="124" fillId="0" borderId="0" xfId="1" applyFont="1" applyBorder="1" applyAlignment="1" applyProtection="1">
      <alignment horizontal="center"/>
      <protection locked="0"/>
    </xf>
    <xf numFmtId="0" fontId="124" fillId="0" borderId="12" xfId="1" applyFont="1" applyBorder="1" applyAlignment="1" applyProtection="1">
      <protection locked="0"/>
    </xf>
    <xf numFmtId="0" fontId="124" fillId="0" borderId="0" xfId="1" applyFont="1" applyBorder="1" applyAlignment="1" applyProtection="1">
      <alignment horizontal="right"/>
      <protection locked="0"/>
    </xf>
    <xf numFmtId="0" fontId="124" fillId="0" borderId="13" xfId="1" applyFont="1" applyBorder="1" applyAlignment="1" applyProtection="1">
      <alignment horizontal="left" indent="2"/>
      <protection locked="0"/>
    </xf>
    <xf numFmtId="0" fontId="139" fillId="0" borderId="12" xfId="1" applyFont="1" applyBorder="1" applyProtection="1">
      <protection locked="0"/>
    </xf>
    <xf numFmtId="0" fontId="166" fillId="0" borderId="0" xfId="1" applyFont="1" applyBorder="1" applyAlignment="1" applyProtection="1">
      <alignment horizontal="right"/>
      <protection locked="0"/>
    </xf>
    <xf numFmtId="0" fontId="166" fillId="0" borderId="13" xfId="1" applyFont="1" applyBorder="1" applyAlignment="1" applyProtection="1">
      <protection locked="0"/>
    </xf>
    <xf numFmtId="0" fontId="166" fillId="0" borderId="12" xfId="1" applyFont="1" applyBorder="1" applyAlignment="1" applyProtection="1">
      <protection locked="0"/>
    </xf>
    <xf numFmtId="0" fontId="166" fillId="0" borderId="13" xfId="1" applyFont="1" applyBorder="1" applyAlignment="1" applyProtection="1">
      <alignment horizontal="left" indent="2"/>
      <protection locked="0"/>
    </xf>
    <xf numFmtId="0" fontId="139" fillId="0" borderId="13" xfId="1" applyFont="1" applyBorder="1" applyProtection="1">
      <protection locked="0"/>
    </xf>
    <xf numFmtId="0" fontId="166" fillId="0" borderId="0" xfId="1" applyFont="1" applyBorder="1" applyAlignment="1" applyProtection="1">
      <alignment horizontal="left"/>
      <protection locked="0"/>
    </xf>
    <xf numFmtId="0" fontId="167" fillId="0" borderId="0" xfId="1" applyFont="1" applyBorder="1" applyProtection="1">
      <protection locked="0"/>
    </xf>
    <xf numFmtId="0" fontId="166" fillId="0" borderId="13" xfId="1" applyFont="1" applyBorder="1" applyAlignment="1" applyProtection="1">
      <alignment horizontal="left"/>
      <protection locked="0"/>
    </xf>
    <xf numFmtId="0" fontId="139" fillId="0" borderId="9" xfId="1" applyFont="1" applyBorder="1" applyProtection="1">
      <protection locked="0"/>
    </xf>
    <xf numFmtId="0" fontId="139" fillId="0" borderId="1" xfId="1" applyFont="1" applyBorder="1" applyProtection="1">
      <protection locked="0"/>
    </xf>
    <xf numFmtId="0" fontId="124" fillId="0" borderId="1" xfId="1" applyFont="1" applyBorder="1" applyAlignment="1" applyProtection="1">
      <alignment horizontal="right"/>
      <protection locked="0"/>
    </xf>
    <xf numFmtId="0" fontId="126" fillId="0" borderId="1" xfId="1" applyFont="1" applyBorder="1" applyProtection="1">
      <protection locked="0"/>
    </xf>
    <xf numFmtId="0" fontId="124" fillId="0" borderId="10" xfId="1" applyFont="1" applyBorder="1" applyAlignment="1" applyProtection="1">
      <alignment horizontal="left" indent="2"/>
      <protection locked="0"/>
    </xf>
    <xf numFmtId="49" fontId="169" fillId="0" borderId="9" xfId="1" applyNumberFormat="1" applyFont="1" applyBorder="1" applyAlignment="1" applyProtection="1">
      <protection locked="0"/>
    </xf>
    <xf numFmtId="49" fontId="139" fillId="0" borderId="1" xfId="1" applyNumberFormat="1" applyFont="1" applyBorder="1" applyProtection="1">
      <protection locked="0"/>
    </xf>
    <xf numFmtId="0" fontId="126" fillId="0" borderId="10" xfId="1" applyFont="1" applyBorder="1" applyProtection="1">
      <protection locked="0"/>
    </xf>
    <xf numFmtId="0" fontId="147" fillId="0" borderId="0" xfId="9" applyFont="1" applyProtection="1"/>
    <xf numFmtId="0" fontId="147" fillId="0" borderId="22" xfId="9" applyFont="1" applyBorder="1" applyAlignment="1" applyProtection="1">
      <alignment horizontal="center"/>
    </xf>
    <xf numFmtId="0" fontId="147" fillId="0" borderId="0" xfId="9" applyFont="1" applyAlignment="1" applyProtection="1">
      <alignment horizontal="center"/>
    </xf>
    <xf numFmtId="0" fontId="147" fillId="0" borderId="8" xfId="9" applyFont="1" applyBorder="1" applyAlignment="1" applyProtection="1">
      <alignment horizontal="center"/>
    </xf>
    <xf numFmtId="0" fontId="147" fillId="0" borderId="0" xfId="9" applyFont="1" applyBorder="1" applyAlignment="1" applyProtection="1">
      <alignment horizontal="center"/>
    </xf>
    <xf numFmtId="0" fontId="124" fillId="0" borderId="16" xfId="9" applyFont="1" applyBorder="1" applyProtection="1"/>
    <xf numFmtId="0" fontId="124" fillId="0" borderId="25" xfId="9" applyFont="1" applyBorder="1" applyProtection="1"/>
    <xf numFmtId="0" fontId="124" fillId="0" borderId="27" xfId="9" applyFont="1" applyBorder="1" applyAlignment="1" applyProtection="1">
      <alignment horizontal="left"/>
    </xf>
    <xf numFmtId="0" fontId="124" fillId="0" borderId="29" xfId="9" applyFont="1" applyBorder="1" applyProtection="1"/>
    <xf numFmtId="0" fontId="124" fillId="0" borderId="30" xfId="9" applyFont="1" applyBorder="1" applyAlignment="1" applyProtection="1">
      <alignment horizontal="left"/>
    </xf>
    <xf numFmtId="0" fontId="131" fillId="0" borderId="0" xfId="0" applyFont="1" applyProtection="1">
      <protection locked="0"/>
    </xf>
    <xf numFmtId="0" fontId="158" fillId="0" borderId="0" xfId="9" applyFont="1" applyProtection="1">
      <protection locked="0"/>
    </xf>
    <xf numFmtId="49" fontId="127" fillId="3" borderId="5" xfId="9" applyNumberFormat="1" applyFont="1" applyFill="1" applyBorder="1" applyAlignment="1" applyProtection="1">
      <alignment horizontal="right" vertical="center"/>
    </xf>
    <xf numFmtId="0" fontId="132" fillId="18" borderId="11" xfId="9" applyFont="1" applyFill="1" applyBorder="1" applyAlignment="1" applyProtection="1">
      <alignment horizontal="center" vertical="center"/>
    </xf>
    <xf numFmtId="0" fontId="126" fillId="18" borderId="4" xfId="9" applyFont="1" applyFill="1" applyBorder="1" applyProtection="1"/>
    <xf numFmtId="0" fontId="126" fillId="18" borderId="4" xfId="9" applyFont="1" applyFill="1" applyBorder="1" applyAlignment="1" applyProtection="1">
      <alignment horizontal="left" vertical="center" wrapText="1"/>
    </xf>
    <xf numFmtId="0" fontId="127" fillId="18" borderId="179" xfId="9" applyFont="1" applyFill="1" applyBorder="1" applyAlignment="1" applyProtection="1">
      <alignment horizontal="right" vertical="center"/>
    </xf>
    <xf numFmtId="0" fontId="127" fillId="22" borderId="5" xfId="9" applyFont="1" applyFill="1" applyBorder="1" applyAlignment="1" applyProtection="1">
      <alignment horizontal="right"/>
    </xf>
    <xf numFmtId="0" fontId="127" fillId="22" borderId="6" xfId="9" applyFont="1" applyFill="1" applyBorder="1" applyAlignment="1" applyProtection="1">
      <alignment horizontal="left"/>
    </xf>
    <xf numFmtId="0" fontId="127" fillId="22" borderId="7" xfId="9" applyFont="1" applyFill="1" applyBorder="1" applyAlignment="1" applyProtection="1">
      <alignment horizontal="left" vertical="top" wrapText="1"/>
    </xf>
    <xf numFmtId="0" fontId="126" fillId="22" borderId="6" xfId="9" applyFont="1" applyFill="1" applyBorder="1" applyAlignment="1" applyProtection="1">
      <alignment horizontal="left"/>
    </xf>
    <xf numFmtId="0" fontId="127" fillId="22" borderId="1" xfId="9" applyFont="1" applyFill="1" applyBorder="1" applyProtection="1"/>
    <xf numFmtId="49" fontId="124" fillId="0" borderId="11" xfId="9" applyNumberFormat="1" applyFont="1" applyFill="1" applyBorder="1" applyAlignment="1" applyProtection="1">
      <alignment horizontal="right" vertical="top"/>
    </xf>
    <xf numFmtId="0" fontId="127" fillId="22" borderId="6" xfId="9" applyFont="1" applyFill="1" applyBorder="1" applyProtection="1"/>
    <xf numFmtId="0" fontId="127" fillId="22" borderId="5" xfId="9" applyFont="1" applyFill="1" applyBorder="1" applyAlignment="1" applyProtection="1">
      <alignment horizontal="left" vertical="top" wrapText="1"/>
    </xf>
    <xf numFmtId="0" fontId="126" fillId="22" borderId="1" xfId="9" applyFont="1" applyFill="1" applyBorder="1" applyAlignment="1" applyProtection="1">
      <alignment horizontal="left"/>
    </xf>
    <xf numFmtId="0" fontId="127" fillId="22" borderId="9" xfId="9" applyFont="1" applyFill="1" applyBorder="1" applyProtection="1"/>
    <xf numFmtId="49" fontId="124" fillId="0" borderId="11" xfId="9" applyNumberFormat="1" applyFont="1" applyBorder="1" applyAlignment="1" applyProtection="1">
      <alignment horizontal="right" vertical="center"/>
    </xf>
    <xf numFmtId="49" fontId="124" fillId="0" borderId="22" xfId="9" applyNumberFormat="1" applyFont="1" applyBorder="1" applyAlignment="1" applyProtection="1">
      <alignment horizontal="right" vertical="top"/>
    </xf>
    <xf numFmtId="0" fontId="124" fillId="0" borderId="12" xfId="9" applyFont="1" applyBorder="1" applyAlignment="1" applyProtection="1">
      <alignment vertical="top" wrapText="1"/>
    </xf>
    <xf numFmtId="0" fontId="124" fillId="0" borderId="13" xfId="9" applyFont="1" applyBorder="1" applyAlignment="1" applyProtection="1">
      <alignment vertical="top" wrapText="1"/>
    </xf>
    <xf numFmtId="49" fontId="124" fillId="0" borderId="11" xfId="9" applyNumberFormat="1" applyFont="1" applyBorder="1" applyAlignment="1" applyProtection="1">
      <alignment horizontal="right" vertical="top"/>
    </xf>
    <xf numFmtId="49" fontId="124" fillId="18" borderId="9" xfId="9" applyNumberFormat="1" applyFont="1" applyFill="1" applyBorder="1" applyAlignment="1" applyProtection="1">
      <alignment horizontal="center" vertical="center"/>
    </xf>
    <xf numFmtId="0" fontId="124" fillId="18" borderId="1" xfId="9" applyFont="1" applyFill="1" applyBorder="1" applyAlignment="1" applyProtection="1">
      <alignment horizontal="left" vertical="top" wrapText="1"/>
    </xf>
    <xf numFmtId="0" fontId="127" fillId="18" borderId="1" xfId="9" applyFont="1" applyFill="1" applyBorder="1" applyAlignment="1" applyProtection="1">
      <alignment horizontal="right" vertical="top"/>
    </xf>
    <xf numFmtId="0" fontId="126" fillId="6" borderId="1" xfId="9" applyFont="1" applyFill="1" applyBorder="1" applyAlignment="1" applyProtection="1">
      <alignment vertical="top"/>
    </xf>
    <xf numFmtId="0" fontId="132" fillId="0" borderId="8" xfId="1" applyFont="1" applyFill="1" applyBorder="1" applyAlignment="1" applyProtection="1">
      <alignment vertical="top" wrapText="1" shrinkToFit="1"/>
      <protection locked="0"/>
    </xf>
    <xf numFmtId="0" fontId="132" fillId="0" borderId="8" xfId="1" applyFont="1" applyFill="1" applyBorder="1" applyAlignment="1" applyProtection="1">
      <alignment horizontal="center" vertical="top" wrapText="1" shrinkToFit="1"/>
      <protection locked="0"/>
    </xf>
    <xf numFmtId="0" fontId="132" fillId="18" borderId="11" xfId="1" applyFont="1" applyFill="1" applyBorder="1" applyAlignment="1" applyProtection="1">
      <alignment horizontal="center" vertical="top" wrapText="1" shrinkToFit="1"/>
      <protection locked="0"/>
    </xf>
    <xf numFmtId="49" fontId="168" fillId="0" borderId="12" xfId="1" applyNumberFormat="1" applyFont="1" applyBorder="1" applyAlignment="1" applyProtection="1">
      <alignment horizontal="center" vertical="center"/>
      <protection locked="0"/>
    </xf>
    <xf numFmtId="49" fontId="169" fillId="0" borderId="0" xfId="1" applyNumberFormat="1" applyFont="1" applyBorder="1" applyAlignment="1" applyProtection="1">
      <alignment vertical="center"/>
      <protection locked="0"/>
    </xf>
    <xf numFmtId="49" fontId="139" fillId="0" borderId="0" xfId="1" applyNumberFormat="1" applyFont="1" applyBorder="1" applyAlignment="1" applyProtection="1">
      <alignment vertical="center"/>
      <protection locked="0"/>
    </xf>
    <xf numFmtId="0" fontId="124" fillId="0" borderId="0" xfId="1" applyFont="1" applyBorder="1" applyAlignment="1" applyProtection="1">
      <alignment horizontal="right" vertical="center"/>
      <protection locked="0"/>
    </xf>
    <xf numFmtId="0" fontId="124" fillId="0" borderId="0" xfId="1" applyFont="1" applyBorder="1" applyAlignment="1" applyProtection="1">
      <alignment vertical="center"/>
      <protection locked="0"/>
    </xf>
    <xf numFmtId="0" fontId="126" fillId="0" borderId="13" xfId="1" applyFont="1" applyBorder="1" applyAlignment="1" applyProtection="1">
      <alignment vertical="center"/>
      <protection locked="0"/>
    </xf>
    <xf numFmtId="49" fontId="169" fillId="0" borderId="1" xfId="1" applyNumberFormat="1" applyFont="1" applyBorder="1" applyAlignment="1" applyProtection="1">
      <alignment vertical="center"/>
      <protection locked="0"/>
    </xf>
    <xf numFmtId="191" fontId="2" fillId="0" borderId="0" xfId="10" applyNumberFormat="1" applyFont="1" applyBorder="1" applyAlignment="1" applyProtection="1">
      <alignment horizontal="center" vertical="center"/>
      <protection locked="0"/>
    </xf>
    <xf numFmtId="191" fontId="54" fillId="0" borderId="0" xfId="10" applyNumberFormat="1" applyFont="1" applyFill="1" applyBorder="1" applyAlignment="1" applyProtection="1">
      <alignment horizontal="center" vertical="center" wrapText="1"/>
    </xf>
    <xf numFmtId="191" fontId="2" fillId="0" borderId="66" xfId="10" applyNumberFormat="1" applyFont="1" applyBorder="1" applyAlignment="1" applyProtection="1">
      <alignment horizontal="center" vertical="center"/>
      <protection locked="0"/>
    </xf>
    <xf numFmtId="0" fontId="2" fillId="0" borderId="5" xfId="10" applyFont="1" applyBorder="1" applyAlignment="1" applyProtection="1">
      <alignment horizontal="center" vertical="center"/>
      <protection locked="0"/>
    </xf>
    <xf numFmtId="0" fontId="2" fillId="0" borderId="6" xfId="10" applyFont="1" applyBorder="1" applyAlignment="1" applyProtection="1">
      <alignment horizontal="center" vertical="center"/>
      <protection locked="0"/>
    </xf>
    <xf numFmtId="0" fontId="40" fillId="0" borderId="0" xfId="10" applyFont="1" applyBorder="1" applyAlignment="1" applyProtection="1">
      <alignment vertical="center"/>
    </xf>
    <xf numFmtId="0" fontId="2" fillId="0" borderId="0" xfId="10" applyFont="1" applyBorder="1" applyAlignment="1" applyProtection="1">
      <alignment vertical="center" wrapText="1"/>
    </xf>
    <xf numFmtId="0" fontId="54" fillId="0" borderId="0" xfId="10" applyFont="1" applyBorder="1" applyAlignment="1" applyProtection="1">
      <alignment vertical="center" wrapText="1"/>
    </xf>
    <xf numFmtId="0" fontId="2" fillId="0" borderId="0" xfId="10" applyFont="1" applyBorder="1" applyAlignment="1" applyProtection="1">
      <alignment vertical="center"/>
    </xf>
    <xf numFmtId="0" fontId="2" fillId="0" borderId="0" xfId="10" applyFont="1" applyBorder="1" applyAlignment="1" applyProtection="1">
      <alignment horizontal="center" vertical="center"/>
      <protection locked="0"/>
    </xf>
    <xf numFmtId="0" fontId="126" fillId="0" borderId="48" xfId="1" applyFont="1" applyBorder="1" applyProtection="1">
      <protection locked="0"/>
    </xf>
    <xf numFmtId="0" fontId="126" fillId="0" borderId="49" xfId="1" applyFont="1" applyBorder="1" applyProtection="1">
      <protection locked="0"/>
    </xf>
    <xf numFmtId="0" fontId="126" fillId="0" borderId="50" xfId="1" applyFont="1" applyBorder="1" applyProtection="1">
      <protection locked="0"/>
    </xf>
    <xf numFmtId="0" fontId="132" fillId="18" borderId="11" xfId="1" applyFont="1" applyFill="1" applyBorder="1" applyAlignment="1" applyProtection="1">
      <alignment horizontal="center" vertical="center" wrapText="1" shrinkToFit="1"/>
      <protection locked="0"/>
    </xf>
    <xf numFmtId="0" fontId="34" fillId="0" borderId="7" xfId="10" applyFont="1" applyBorder="1" applyAlignment="1" applyProtection="1">
      <alignment horizontal="center"/>
      <protection locked="0"/>
    </xf>
    <xf numFmtId="0" fontId="34" fillId="0" borderId="11" xfId="10" applyFont="1" applyBorder="1" applyAlignment="1" applyProtection="1">
      <alignment horizontal="center"/>
      <protection locked="0"/>
    </xf>
    <xf numFmtId="0" fontId="127" fillId="22" borderId="31" xfId="9" applyFont="1" applyFill="1" applyBorder="1" applyAlignment="1" applyProtection="1">
      <alignment horizontal="center" vertical="center"/>
      <protection locked="0"/>
    </xf>
    <xf numFmtId="0" fontId="147" fillId="0" borderId="11" xfId="9" applyFont="1" applyBorder="1" applyAlignment="1" applyProtection="1">
      <alignment horizontal="center"/>
    </xf>
    <xf numFmtId="49" fontId="124" fillId="0" borderId="2" xfId="9" applyNumberFormat="1" applyFont="1" applyBorder="1" applyAlignment="1" applyProtection="1">
      <alignment horizontal="right" vertical="top"/>
    </xf>
    <xf numFmtId="49" fontId="124" fillId="0" borderId="8" xfId="9" applyNumberFormat="1" applyFont="1" applyBorder="1" applyAlignment="1" applyProtection="1">
      <alignment horizontal="right" vertical="top"/>
    </xf>
    <xf numFmtId="0" fontId="132" fillId="18" borderId="8" xfId="9" applyFont="1" applyFill="1" applyBorder="1" applyAlignment="1" applyProtection="1">
      <alignment horizontal="center" vertical="center" wrapText="1" shrinkToFit="1"/>
      <protection locked="0"/>
    </xf>
    <xf numFmtId="0" fontId="124" fillId="0" borderId="9" xfId="9" applyFont="1" applyBorder="1" applyAlignment="1" applyProtection="1">
      <alignment horizontal="left" vertical="top" wrapText="1"/>
    </xf>
    <xf numFmtId="0" fontId="124" fillId="0" borderId="1" xfId="9" applyFont="1" applyBorder="1" applyAlignment="1" applyProtection="1">
      <alignment horizontal="left" vertical="top" wrapText="1"/>
    </xf>
    <xf numFmtId="0" fontId="6" fillId="0" borderId="0" xfId="9" applyFont="1" applyFill="1" applyBorder="1" applyAlignment="1" applyProtection="1">
      <alignment horizontal="center" vertical="center"/>
      <protection locked="0"/>
    </xf>
    <xf numFmtId="0" fontId="6" fillId="0" borderId="0" xfId="9" applyFont="1" applyBorder="1" applyAlignment="1" applyProtection="1">
      <alignment horizontal="center" vertical="center"/>
      <protection locked="0"/>
    </xf>
    <xf numFmtId="0" fontId="126" fillId="0" borderId="0" xfId="9" applyFont="1" applyAlignment="1" applyProtection="1">
      <alignment horizontal="left"/>
      <protection locked="0"/>
    </xf>
    <xf numFmtId="0" fontId="124" fillId="0" borderId="9" xfId="9" applyFont="1" applyBorder="1" applyAlignment="1" applyProtection="1">
      <alignment vertical="top" wrapText="1"/>
    </xf>
    <xf numFmtId="0" fontId="124" fillId="0" borderId="1" xfId="9" applyFont="1" applyBorder="1" applyAlignment="1" applyProtection="1">
      <alignment vertical="top" wrapText="1"/>
    </xf>
    <xf numFmtId="0" fontId="124" fillId="0" borderId="10" xfId="9" applyFont="1" applyBorder="1" applyAlignment="1" applyProtection="1">
      <alignment vertical="top" wrapText="1"/>
    </xf>
    <xf numFmtId="0" fontId="124" fillId="0" borderId="15" xfId="9" applyFont="1" applyBorder="1" applyAlignment="1" applyProtection="1">
      <alignment horizontal="left"/>
    </xf>
    <xf numFmtId="0" fontId="124" fillId="0" borderId="17" xfId="9" applyFont="1" applyBorder="1" applyAlignment="1" applyProtection="1">
      <alignment horizontal="left"/>
    </xf>
    <xf numFmtId="0" fontId="126" fillId="0" borderId="0" xfId="9" applyFont="1" applyBorder="1" applyAlignment="1" applyProtection="1">
      <alignment horizontal="left"/>
      <protection locked="0"/>
    </xf>
    <xf numFmtId="0" fontId="124" fillId="0" borderId="23" xfId="9" applyFont="1" applyBorder="1" applyAlignment="1" applyProtection="1">
      <alignment horizontal="left"/>
    </xf>
    <xf numFmtId="0" fontId="124" fillId="0" borderId="26" xfId="9" applyFont="1" applyBorder="1" applyAlignment="1" applyProtection="1">
      <alignment horizontal="left"/>
    </xf>
    <xf numFmtId="0" fontId="132" fillId="18" borderId="11" xfId="9" applyFont="1" applyFill="1" applyBorder="1" applyAlignment="1" applyProtection="1">
      <alignment horizontal="center" vertical="center" wrapText="1" shrinkToFit="1"/>
    </xf>
    <xf numFmtId="0" fontId="124" fillId="0" borderId="12" xfId="9" applyFont="1" applyBorder="1" applyAlignment="1" applyProtection="1">
      <alignment horizontal="left" vertical="top" wrapText="1"/>
    </xf>
    <xf numFmtId="0" fontId="124" fillId="0" borderId="10" xfId="9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27" fillId="0" borderId="52" xfId="9" applyFont="1" applyBorder="1" applyAlignment="1" applyProtection="1">
      <alignment horizontal="left" vertical="center" wrapText="1"/>
    </xf>
    <xf numFmtId="0" fontId="14" fillId="13" borderId="63" xfId="10" applyFont="1" applyFill="1" applyBorder="1" applyAlignment="1" applyProtection="1">
      <alignment horizontal="center" vertical="center" wrapText="1"/>
    </xf>
    <xf numFmtId="0" fontId="14" fillId="13" borderId="86" xfId="10" applyFont="1" applyFill="1" applyBorder="1" applyAlignment="1" applyProtection="1">
      <alignment horizontal="center"/>
    </xf>
    <xf numFmtId="0" fontId="14" fillId="13" borderId="88" xfId="10" applyFont="1" applyFill="1" applyBorder="1" applyAlignment="1" applyProtection="1">
      <alignment horizontal="center" vertical="center" wrapText="1"/>
    </xf>
    <xf numFmtId="0" fontId="14" fillId="0" borderId="11" xfId="0" applyFont="1" applyBorder="1" applyAlignment="1">
      <alignment horizontal="center" vertical="top"/>
    </xf>
    <xf numFmtId="0" fontId="3" fillId="0" borderId="0" xfId="9" applyFont="1" applyProtection="1">
      <protection locked="0"/>
    </xf>
    <xf numFmtId="0" fontId="142" fillId="6" borderId="4" xfId="9" applyFont="1" applyFill="1" applyBorder="1" applyProtection="1">
      <protection locked="0"/>
    </xf>
    <xf numFmtId="0" fontId="3" fillId="0" borderId="0" xfId="9" applyFont="1" applyFill="1" applyProtection="1">
      <protection locked="0"/>
    </xf>
    <xf numFmtId="0" fontId="126" fillId="6" borderId="0" xfId="9" applyFont="1" applyFill="1" applyBorder="1" applyProtection="1">
      <protection locked="0"/>
    </xf>
    <xf numFmtId="0" fontId="126" fillId="6" borderId="13" xfId="9" applyFont="1" applyFill="1" applyBorder="1" applyProtection="1">
      <protection locked="0"/>
    </xf>
    <xf numFmtId="0" fontId="126" fillId="0" borderId="0" xfId="9" applyFont="1" applyBorder="1" applyAlignment="1" applyProtection="1">
      <alignment horizontal="center"/>
      <protection locked="0"/>
    </xf>
    <xf numFmtId="0" fontId="127" fillId="0" borderId="0" xfId="9" applyFont="1" applyAlignment="1" applyProtection="1">
      <alignment horizontal="left"/>
      <protection locked="0"/>
    </xf>
    <xf numFmtId="0" fontId="127" fillId="0" borderId="0" xfId="9" applyFont="1" applyBorder="1" applyAlignment="1" applyProtection="1">
      <alignment horizontal="left"/>
      <protection locked="0"/>
    </xf>
    <xf numFmtId="0" fontId="140" fillId="0" borderId="0" xfId="9" applyFont="1" applyBorder="1" applyAlignment="1" applyProtection="1">
      <alignment horizontal="left"/>
      <protection locked="0"/>
    </xf>
    <xf numFmtId="49" fontId="126" fillId="0" borderId="0" xfId="9" applyNumberFormat="1" applyFont="1" applyBorder="1" applyAlignment="1" applyProtection="1">
      <protection locked="0"/>
    </xf>
    <xf numFmtId="49" fontId="126" fillId="0" borderId="0" xfId="9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vertical="top"/>
      <protection locked="0"/>
    </xf>
    <xf numFmtId="0" fontId="142" fillId="6" borderId="3" xfId="9" applyFont="1" applyFill="1" applyBorder="1" applyProtection="1">
      <protection locked="0"/>
    </xf>
    <xf numFmtId="0" fontId="151" fillId="6" borderId="4" xfId="9" applyFont="1" applyFill="1" applyBorder="1" applyProtection="1">
      <protection locked="0"/>
    </xf>
    <xf numFmtId="0" fontId="151" fillId="6" borderId="31" xfId="9" applyFont="1" applyFill="1" applyBorder="1" applyProtection="1">
      <protection locked="0"/>
    </xf>
    <xf numFmtId="0" fontId="126" fillId="6" borderId="12" xfId="9" applyFont="1" applyFill="1" applyBorder="1" applyProtection="1">
      <protection locked="0"/>
    </xf>
    <xf numFmtId="0" fontId="126" fillId="6" borderId="9" xfId="9" applyFont="1" applyFill="1" applyBorder="1" applyProtection="1">
      <protection locked="0"/>
    </xf>
    <xf numFmtId="0" fontId="126" fillId="6" borderId="1" xfId="9" applyFont="1" applyFill="1" applyBorder="1" applyAlignment="1" applyProtection="1">
      <alignment horizontal="left" vertical="top" wrapText="1"/>
      <protection locked="0"/>
    </xf>
    <xf numFmtId="0" fontId="126" fillId="6" borderId="10" xfId="9" applyFont="1" applyFill="1" applyBorder="1" applyProtection="1">
      <protection locked="0"/>
    </xf>
    <xf numFmtId="0" fontId="6" fillId="0" borderId="0" xfId="9" applyFont="1" applyFill="1" applyBorder="1" applyAlignment="1" applyProtection="1">
      <alignment horizontal="left" vertical="top" wrapText="1"/>
      <protection locked="0"/>
    </xf>
    <xf numFmtId="0" fontId="145" fillId="0" borderId="0" xfId="0" applyFont="1" applyAlignment="1" applyProtection="1">
      <alignment horizontal="center"/>
      <protection locked="0"/>
    </xf>
    <xf numFmtId="0" fontId="146" fillId="0" borderId="0" xfId="0" applyFont="1" applyProtection="1">
      <protection locked="0"/>
    </xf>
    <xf numFmtId="0" fontId="126" fillId="6" borderId="12" xfId="9" applyFont="1" applyFill="1" applyBorder="1" applyAlignment="1" applyProtection="1">
      <alignment horizontal="right"/>
      <protection locked="0"/>
    </xf>
    <xf numFmtId="0" fontId="135" fillId="6" borderId="0" xfId="9" applyFont="1" applyFill="1" applyBorder="1" applyAlignment="1" applyProtection="1">
      <alignment vertical="top"/>
      <protection locked="0"/>
    </xf>
    <xf numFmtId="0" fontId="126" fillId="6" borderId="0" xfId="9" applyFont="1" applyFill="1" applyBorder="1" applyAlignment="1" applyProtection="1">
      <alignment vertical="top"/>
      <protection locked="0"/>
    </xf>
    <xf numFmtId="0" fontId="126" fillId="6" borderId="0" xfId="9" applyFont="1" applyFill="1" applyBorder="1" applyAlignment="1" applyProtection="1">
      <alignment horizontal="left" vertical="top"/>
      <protection locked="0"/>
    </xf>
    <xf numFmtId="0" fontId="151" fillId="6" borderId="12" xfId="9" applyFont="1" applyFill="1" applyBorder="1" applyProtection="1">
      <protection locked="0"/>
    </xf>
    <xf numFmtId="0" fontId="142" fillId="6" borderId="0" xfId="9" applyFont="1" applyFill="1" applyBorder="1" applyProtection="1">
      <protection locked="0"/>
    </xf>
    <xf numFmtId="0" fontId="151" fillId="6" borderId="13" xfId="9" applyFont="1" applyFill="1" applyBorder="1" applyProtection="1">
      <protection locked="0"/>
    </xf>
    <xf numFmtId="0" fontId="126" fillId="6" borderId="9" xfId="9" applyFont="1" applyFill="1" applyBorder="1" applyAlignment="1" applyProtection="1">
      <alignment wrapText="1"/>
      <protection locked="0"/>
    </xf>
    <xf numFmtId="0" fontId="12" fillId="0" borderId="0" xfId="9" applyFont="1" applyFill="1" applyBorder="1" applyAlignment="1" applyProtection="1">
      <alignment vertical="top"/>
      <protection locked="0"/>
    </xf>
    <xf numFmtId="0" fontId="126" fillId="6" borderId="31" xfId="9" applyFont="1" applyFill="1" applyBorder="1" applyAlignment="1" applyProtection="1">
      <alignment vertical="top" wrapText="1"/>
      <protection locked="0"/>
    </xf>
    <xf numFmtId="0" fontId="126" fillId="6" borderId="0" xfId="9" applyFont="1" applyFill="1" applyBorder="1" applyAlignment="1" applyProtection="1">
      <alignment vertical="top" wrapText="1"/>
      <protection locked="0"/>
    </xf>
    <xf numFmtId="0" fontId="157" fillId="6" borderId="12" xfId="9" applyFont="1" applyFill="1" applyBorder="1" applyProtection="1">
      <protection locked="0"/>
    </xf>
    <xf numFmtId="49" fontId="126" fillId="6" borderId="0" xfId="9" applyNumberFormat="1" applyFont="1" applyFill="1" applyBorder="1" applyAlignment="1" applyProtection="1">
      <protection locked="0"/>
    </xf>
    <xf numFmtId="0" fontId="157" fillId="6" borderId="13" xfId="9" applyFont="1" applyFill="1" applyBorder="1" applyProtection="1">
      <protection locked="0"/>
    </xf>
    <xf numFmtId="0" fontId="126" fillId="0" borderId="0" xfId="9" applyFont="1" applyFill="1" applyBorder="1" applyProtection="1">
      <protection locked="0"/>
    </xf>
    <xf numFmtId="0" fontId="126" fillId="0" borderId="0" xfId="9" applyFont="1" applyFill="1" applyBorder="1" applyAlignment="1" applyProtection="1">
      <alignment vertical="top" wrapText="1"/>
      <protection locked="0"/>
    </xf>
    <xf numFmtId="0" fontId="157" fillId="0" borderId="0" xfId="9" applyFont="1" applyFill="1" applyBorder="1" applyProtection="1">
      <protection locked="0"/>
    </xf>
    <xf numFmtId="49" fontId="126" fillId="0" borderId="0" xfId="9" applyNumberFormat="1" applyFont="1" applyFill="1" applyBorder="1" applyAlignment="1" applyProtection="1">
      <protection locked="0"/>
    </xf>
    <xf numFmtId="0" fontId="6" fillId="0" borderId="0" xfId="9" applyFont="1" applyFill="1" applyBorder="1" applyAlignment="1" applyProtection="1">
      <alignment vertical="top" wrapText="1"/>
      <protection locked="0"/>
    </xf>
    <xf numFmtId="0" fontId="124" fillId="6" borderId="0" xfId="9" applyFont="1" applyFill="1" applyBorder="1" applyAlignment="1" applyProtection="1">
      <alignment vertical="top" wrapText="1"/>
      <protection locked="0"/>
    </xf>
    <xf numFmtId="0" fontId="124" fillId="6" borderId="12" xfId="9" applyFont="1" applyFill="1" applyBorder="1" applyAlignment="1" applyProtection="1">
      <alignment vertical="top" wrapText="1"/>
      <protection locked="0"/>
    </xf>
    <xf numFmtId="0" fontId="124" fillId="6" borderId="13" xfId="9" applyFont="1" applyFill="1" applyBorder="1" applyAlignment="1" applyProtection="1">
      <alignment vertical="top" wrapText="1"/>
      <protection locked="0"/>
    </xf>
    <xf numFmtId="0" fontId="124" fillId="6" borderId="9" xfId="9" applyFont="1" applyFill="1" applyBorder="1" applyAlignment="1" applyProtection="1">
      <alignment vertical="top" wrapText="1"/>
      <protection locked="0"/>
    </xf>
    <xf numFmtId="0" fontId="124" fillId="6" borderId="1" xfId="9" applyFont="1" applyFill="1" applyBorder="1" applyAlignment="1" applyProtection="1">
      <alignment vertical="top" wrapText="1"/>
      <protection locked="0"/>
    </xf>
    <xf numFmtId="0" fontId="124" fillId="6" borderId="10" xfId="9" applyFont="1" applyFill="1" applyBorder="1" applyAlignment="1" applyProtection="1">
      <alignment vertical="top" wrapText="1"/>
      <protection locked="0"/>
    </xf>
    <xf numFmtId="0" fontId="124" fillId="0" borderId="0" xfId="9" applyFont="1" applyFill="1" applyBorder="1" applyAlignment="1" applyProtection="1">
      <alignment vertical="top" wrapText="1"/>
      <protection locked="0"/>
    </xf>
    <xf numFmtId="0" fontId="11" fillId="0" borderId="0" xfId="9" applyBorder="1" applyProtection="1">
      <protection locked="0"/>
    </xf>
    <xf numFmtId="0" fontId="137" fillId="0" borderId="0" xfId="9" applyFont="1" applyAlignment="1" applyProtection="1">
      <alignment horizontal="right"/>
    </xf>
    <xf numFmtId="0" fontId="0" fillId="0" borderId="0" xfId="0" applyProtection="1"/>
    <xf numFmtId="0" fontId="4" fillId="0" borderId="0" xfId="9" applyFont="1" applyAlignment="1" applyProtection="1">
      <alignment horizontal="center"/>
    </xf>
    <xf numFmtId="0" fontId="4" fillId="0" borderId="0" xfId="9" applyFont="1" applyAlignment="1" applyProtection="1">
      <alignment horizontal="right"/>
    </xf>
    <xf numFmtId="0" fontId="131" fillId="6" borderId="0" xfId="0" applyFont="1" applyFill="1" applyProtection="1"/>
    <xf numFmtId="0" fontId="126" fillId="0" borderId="5" xfId="9" applyFont="1" applyBorder="1" applyAlignment="1" applyProtection="1">
      <alignment horizontal="right" vertical="center"/>
    </xf>
    <xf numFmtId="0" fontId="126" fillId="18" borderId="3" xfId="9" applyFont="1" applyFill="1" applyBorder="1" applyProtection="1"/>
    <xf numFmtId="0" fontId="124" fillId="0" borderId="9" xfId="9" applyFont="1" applyBorder="1" applyAlignment="1" applyProtection="1">
      <alignment horizontal="center" vertical="top" wrapText="1"/>
    </xf>
    <xf numFmtId="0" fontId="124" fillId="0" borderId="1" xfId="9" applyFont="1" applyBorder="1" applyAlignment="1" applyProtection="1">
      <alignment horizontal="center" vertical="top" wrapText="1"/>
    </xf>
    <xf numFmtId="0" fontId="124" fillId="0" borderId="10" xfId="9" applyFont="1" applyBorder="1" applyAlignment="1" applyProtection="1">
      <alignment horizontal="center" vertical="top" wrapText="1"/>
    </xf>
    <xf numFmtId="0" fontId="124" fillId="0" borderId="12" xfId="9" applyFont="1" applyBorder="1" applyAlignment="1" applyProtection="1">
      <alignment horizontal="center" vertical="top" wrapText="1"/>
    </xf>
    <xf numFmtId="0" fontId="124" fillId="0" borderId="0" xfId="9" applyFont="1" applyBorder="1" applyAlignment="1" applyProtection="1">
      <alignment horizontal="center" vertical="top" wrapText="1"/>
    </xf>
    <xf numFmtId="0" fontId="124" fillId="0" borderId="13" xfId="9" applyFont="1" applyBorder="1" applyAlignment="1" applyProtection="1">
      <alignment horizontal="center" vertical="top" wrapText="1"/>
    </xf>
    <xf numFmtId="0" fontId="124" fillId="0" borderId="0" xfId="9" applyFont="1" applyAlignment="1" applyProtection="1">
      <alignment horizontal="center"/>
    </xf>
    <xf numFmtId="0" fontId="124" fillId="0" borderId="13" xfId="9" applyFont="1" applyBorder="1" applyAlignment="1" applyProtection="1">
      <alignment horizontal="center"/>
    </xf>
    <xf numFmtId="0" fontId="133" fillId="0" borderId="2" xfId="0" applyFont="1" applyBorder="1"/>
    <xf numFmtId="0" fontId="133" fillId="0" borderId="8" xfId="0" applyFont="1" applyBorder="1"/>
    <xf numFmtId="49" fontId="135" fillId="0" borderId="8" xfId="0" applyNumberFormat="1" applyFont="1" applyBorder="1" applyAlignment="1">
      <alignment horizontal="center"/>
    </xf>
    <xf numFmtId="0" fontId="133" fillId="0" borderId="200" xfId="0" applyFont="1" applyBorder="1"/>
    <xf numFmtId="0" fontId="133" fillId="0" borderId="18" xfId="0" applyFont="1" applyBorder="1"/>
    <xf numFmtId="0" fontId="133" fillId="0" borderId="18" xfId="0" applyFont="1" applyBorder="1" applyAlignment="1">
      <alignment horizontal="center"/>
    </xf>
    <xf numFmtId="0" fontId="147" fillId="18" borderId="5" xfId="9" applyFont="1" applyFill="1" applyBorder="1" applyAlignment="1" applyProtection="1">
      <alignment vertical="center"/>
      <protection locked="0"/>
    </xf>
    <xf numFmtId="0" fontId="147" fillId="18" borderId="6" xfId="9" applyFont="1" applyFill="1" applyBorder="1" applyAlignment="1" applyProtection="1">
      <alignment vertical="center"/>
      <protection locked="0"/>
    </xf>
    <xf numFmtId="0" fontId="147" fillId="18" borderId="7" xfId="9" applyFont="1" applyFill="1" applyBorder="1" applyAlignment="1" applyProtection="1">
      <alignment vertical="center"/>
      <protection locked="0"/>
    </xf>
    <xf numFmtId="0" fontId="147" fillId="18" borderId="6" xfId="9" applyFont="1" applyFill="1" applyBorder="1" applyAlignment="1" applyProtection="1">
      <alignment horizontal="right" vertical="center"/>
      <protection locked="0"/>
    </xf>
    <xf numFmtId="0" fontId="147" fillId="18" borderId="5" xfId="9" applyFont="1" applyFill="1" applyBorder="1" applyAlignment="1" applyProtection="1">
      <alignment horizontal="right" vertical="center"/>
      <protection locked="0"/>
    </xf>
    <xf numFmtId="0" fontId="124" fillId="0" borderId="8" xfId="9" applyFont="1" applyBorder="1" applyProtection="1">
      <protection locked="0"/>
    </xf>
    <xf numFmtId="0" fontId="2" fillId="0" borderId="0" xfId="10" applyBorder="1" applyProtection="1"/>
    <xf numFmtId="0" fontId="40" fillId="0" borderId="0" xfId="10" applyFont="1" applyBorder="1" applyAlignment="1" applyProtection="1">
      <alignment vertical="center"/>
      <protection locked="0"/>
    </xf>
    <xf numFmtId="0" fontId="2" fillId="0" borderId="0" xfId="10" applyFont="1" applyBorder="1" applyAlignment="1" applyProtection="1">
      <alignment vertical="center" wrapText="1"/>
      <protection locked="0"/>
    </xf>
    <xf numFmtId="0" fontId="2" fillId="0" borderId="0" xfId="10" applyFont="1" applyAlignment="1" applyProtection="1">
      <alignment horizontal="center"/>
    </xf>
    <xf numFmtId="0" fontId="132" fillId="0" borderId="10" xfId="1" applyFont="1" applyFill="1" applyBorder="1" applyAlignment="1" applyProtection="1">
      <alignment vertical="top" wrapText="1" shrinkToFit="1"/>
      <protection locked="0"/>
    </xf>
    <xf numFmtId="0" fontId="126" fillId="0" borderId="11" xfId="1" applyFont="1" applyBorder="1" applyAlignment="1" applyProtection="1">
      <alignment horizontal="center" vertical="top"/>
    </xf>
    <xf numFmtId="0" fontId="126" fillId="0" borderId="11" xfId="1" applyFont="1" applyBorder="1" applyAlignment="1" applyProtection="1">
      <alignment horizontal="center" vertical="top" wrapText="1"/>
    </xf>
    <xf numFmtId="0" fontId="143" fillId="18" borderId="5" xfId="1" applyFont="1" applyFill="1" applyBorder="1" applyAlignment="1" applyProtection="1">
      <alignment vertical="center" wrapText="1" shrinkToFit="1"/>
      <protection locked="0"/>
    </xf>
    <xf numFmtId="0" fontId="143" fillId="18" borderId="6" xfId="1" applyFont="1" applyFill="1" applyBorder="1" applyAlignment="1" applyProtection="1">
      <alignment vertical="center" wrapText="1" shrinkToFit="1"/>
      <protection locked="0"/>
    </xf>
    <xf numFmtId="0" fontId="143" fillId="18" borderId="7" xfId="1" applyFont="1" applyFill="1" applyBorder="1" applyAlignment="1" applyProtection="1">
      <alignment vertical="center" wrapText="1" shrinkToFit="1"/>
      <protection locked="0"/>
    </xf>
    <xf numFmtId="0" fontId="143" fillId="18" borderId="6" xfId="1" applyFont="1" applyFill="1" applyBorder="1" applyAlignment="1" applyProtection="1">
      <alignment vertical="center"/>
      <protection locked="0"/>
    </xf>
    <xf numFmtId="2" fontId="0" fillId="0" borderId="0" xfId="0" applyNumberFormat="1" applyProtection="1">
      <protection locked="0"/>
    </xf>
    <xf numFmtId="0" fontId="6" fillId="6" borderId="12" xfId="9" applyFont="1" applyFill="1" applyBorder="1" applyProtection="1">
      <protection locked="0"/>
    </xf>
    <xf numFmtId="0" fontId="6" fillId="6" borderId="0" xfId="9" applyFont="1" applyFill="1" applyBorder="1" applyProtection="1">
      <protection locked="0"/>
    </xf>
    <xf numFmtId="0" fontId="6" fillId="6" borderId="13" xfId="9" applyFont="1" applyFill="1" applyBorder="1" applyProtection="1">
      <protection locked="0"/>
    </xf>
    <xf numFmtId="0" fontId="6" fillId="6" borderId="9" xfId="9" applyFont="1" applyFill="1" applyBorder="1" applyProtection="1">
      <protection locked="0"/>
    </xf>
    <xf numFmtId="0" fontId="6" fillId="6" borderId="1" xfId="9" applyFont="1" applyFill="1" applyBorder="1" applyProtection="1">
      <protection locked="0"/>
    </xf>
    <xf numFmtId="0" fontId="6" fillId="6" borderId="10" xfId="9" applyFont="1" applyFill="1" applyBorder="1" applyProtection="1">
      <protection locked="0"/>
    </xf>
    <xf numFmtId="0" fontId="134" fillId="5" borderId="6" xfId="0" applyFont="1" applyFill="1" applyBorder="1"/>
    <xf numFmtId="0" fontId="133" fillId="0" borderId="22" xfId="0" applyFont="1" applyBorder="1"/>
    <xf numFmtId="0" fontId="133" fillId="0" borderId="8" xfId="0" applyFont="1" applyBorder="1" applyAlignment="1">
      <alignment horizontal="center"/>
    </xf>
    <xf numFmtId="0" fontId="134" fillId="0" borderId="2" xfId="0" applyFont="1" applyBorder="1" applyAlignment="1">
      <alignment horizontal="center" vertical="center"/>
    </xf>
    <xf numFmtId="0" fontId="134" fillId="0" borderId="22" xfId="0" applyFont="1" applyBorder="1" applyAlignment="1">
      <alignment horizontal="center" vertical="center"/>
    </xf>
    <xf numFmtId="0" fontId="134" fillId="0" borderId="8" xfId="0" applyFont="1" applyBorder="1" applyAlignment="1">
      <alignment horizontal="center" vertical="center"/>
    </xf>
    <xf numFmtId="49" fontId="135" fillId="0" borderId="28" xfId="0" applyNumberFormat="1" applyFont="1" applyBorder="1" applyAlignment="1">
      <alignment horizontal="center"/>
    </xf>
    <xf numFmtId="1" fontId="56" fillId="3" borderId="24" xfId="9" applyNumberFormat="1" applyFont="1" applyFill="1" applyBorder="1" applyAlignment="1" applyProtection="1">
      <alignment horizontal="center" vertical="center"/>
    </xf>
    <xf numFmtId="2" fontId="11" fillId="0" borderId="0" xfId="9" applyNumberFormat="1" applyProtection="1">
      <protection locked="0"/>
    </xf>
    <xf numFmtId="1" fontId="127" fillId="22" borderId="11" xfId="9" applyNumberFormat="1" applyFont="1" applyFill="1" applyBorder="1" applyAlignment="1" applyProtection="1">
      <alignment horizontal="center"/>
    </xf>
    <xf numFmtId="0" fontId="126" fillId="0" borderId="6" xfId="9" applyFont="1" applyFill="1" applyBorder="1" applyAlignment="1" applyProtection="1">
      <alignment horizontal="center" vertical="center"/>
    </xf>
    <xf numFmtId="0" fontId="126" fillId="0" borderId="1" xfId="9" applyFont="1" applyFill="1" applyBorder="1" applyAlignment="1" applyProtection="1">
      <alignment horizontal="center" vertical="center"/>
      <protection locked="0"/>
    </xf>
    <xf numFmtId="0" fontId="127" fillId="22" borderId="11" xfId="9" applyFont="1" applyFill="1" applyBorder="1" applyAlignment="1" applyProtection="1">
      <alignment horizontal="center"/>
    </xf>
    <xf numFmtId="0" fontId="124" fillId="0" borderId="21" xfId="9" applyFont="1" applyFill="1" applyBorder="1" applyAlignment="1" applyProtection="1">
      <alignment horizontal="center" vertical="center"/>
    </xf>
    <xf numFmtId="0" fontId="124" fillId="0" borderId="10" xfId="9" applyFont="1" applyFill="1" applyBorder="1" applyAlignment="1" applyProtection="1">
      <alignment horizontal="center" vertical="center"/>
    </xf>
    <xf numFmtId="0" fontId="44" fillId="4" borderId="53" xfId="10" applyFont="1" applyFill="1" applyBorder="1" applyAlignment="1" applyProtection="1">
      <alignment horizontal="left" vertical="center"/>
    </xf>
    <xf numFmtId="0" fontId="44" fillId="4" borderId="54" xfId="10" applyFont="1" applyFill="1" applyBorder="1" applyAlignment="1" applyProtection="1">
      <alignment horizontal="left" vertical="center"/>
    </xf>
    <xf numFmtId="0" fontId="40" fillId="4" borderId="54" xfId="10" applyFont="1" applyFill="1" applyBorder="1" applyAlignment="1" applyProtection="1">
      <alignment vertical="center"/>
    </xf>
    <xf numFmtId="0" fontId="40" fillId="4" borderId="54" xfId="10" applyFont="1" applyFill="1" applyBorder="1" applyAlignment="1" applyProtection="1">
      <alignment horizontal="center" vertical="center"/>
    </xf>
    <xf numFmtId="0" fontId="62" fillId="4" borderId="54" xfId="10" applyFont="1" applyFill="1" applyBorder="1" applyAlignment="1" applyProtection="1">
      <alignment horizontal="center" vertical="center" wrapText="1"/>
    </xf>
    <xf numFmtId="0" fontId="40" fillId="4" borderId="54" xfId="10" applyFont="1" applyFill="1" applyBorder="1" applyAlignment="1" applyProtection="1">
      <alignment horizontal="center" vertical="center" wrapText="1"/>
    </xf>
    <xf numFmtId="0" fontId="63" fillId="4" borderId="54" xfId="10" applyFont="1" applyFill="1" applyBorder="1" applyAlignment="1" applyProtection="1">
      <alignment horizontal="center" vertical="center" wrapText="1"/>
    </xf>
    <xf numFmtId="0" fontId="63" fillId="4" borderId="80" xfId="10" applyFont="1" applyFill="1" applyBorder="1" applyAlignment="1" applyProtection="1">
      <alignment horizontal="center" vertical="center" wrapText="1"/>
    </xf>
    <xf numFmtId="0" fontId="34" fillId="0" borderId="0" xfId="10" applyFont="1" applyFill="1" applyBorder="1" applyAlignment="1" applyProtection="1"/>
    <xf numFmtId="0" fontId="2" fillId="0" borderId="31" xfId="10" applyFont="1" applyFill="1" applyBorder="1" applyAlignment="1" applyProtection="1">
      <protection locked="0"/>
    </xf>
    <xf numFmtId="0" fontId="133" fillId="0" borderId="11" xfId="0" applyFont="1" applyBorder="1" applyAlignment="1">
      <alignment horizontal="center" vertical="center" wrapText="1"/>
    </xf>
    <xf numFmtId="0" fontId="14" fillId="20" borderId="11" xfId="0" applyFont="1" applyFill="1" applyBorder="1" applyAlignment="1">
      <alignment horizontal="center" vertical="top" wrapText="1"/>
    </xf>
    <xf numFmtId="0" fontId="17" fillId="20" borderId="11" xfId="0" applyFont="1" applyFill="1" applyBorder="1" applyAlignment="1">
      <alignment horizontal="center"/>
    </xf>
    <xf numFmtId="0" fontId="126" fillId="0" borderId="43" xfId="1" applyNumberFormat="1" applyFont="1" applyBorder="1" applyAlignment="1" applyProtection="1">
      <alignment horizontal="center"/>
    </xf>
    <xf numFmtId="0" fontId="40" fillId="0" borderId="0" xfId="3" applyFont="1" applyAlignment="1" applyProtection="1">
      <alignment horizontal="center"/>
    </xf>
    <xf numFmtId="0" fontId="126" fillId="0" borderId="0" xfId="1" applyFont="1" applyBorder="1" applyAlignment="1" applyProtection="1">
      <alignment horizontal="center"/>
    </xf>
    <xf numFmtId="0" fontId="127" fillId="0" borderId="0" xfId="1" applyFont="1" applyBorder="1" applyAlignment="1" applyProtection="1">
      <alignment horizontal="left"/>
    </xf>
    <xf numFmtId="0" fontId="127" fillId="0" borderId="0" xfId="1" applyFont="1" applyBorder="1" applyAlignment="1" applyProtection="1">
      <alignment horizontal="right"/>
    </xf>
    <xf numFmtId="0" fontId="126" fillId="0" borderId="0" xfId="1" applyNumberFormat="1" applyFont="1" applyBorder="1" applyAlignment="1" applyProtection="1">
      <alignment horizontal="center"/>
    </xf>
    <xf numFmtId="0" fontId="126" fillId="13" borderId="39" xfId="1" applyFont="1" applyFill="1" applyBorder="1" applyProtection="1"/>
    <xf numFmtId="0" fontId="16" fillId="0" borderId="0" xfId="8" applyFont="1" applyFill="1" applyAlignment="1">
      <alignment horizontal="center"/>
    </xf>
    <xf numFmtId="0" fontId="16" fillId="0" borderId="0" xfId="0" applyFont="1"/>
    <xf numFmtId="49" fontId="17" fillId="0" borderId="0" xfId="0" applyNumberFormat="1" applyFont="1"/>
    <xf numFmtId="0" fontId="96" fillId="0" borderId="0" xfId="10" applyFont="1" applyProtection="1"/>
    <xf numFmtId="0" fontId="40" fillId="0" borderId="0" xfId="10" applyFont="1" applyProtection="1"/>
    <xf numFmtId="0" fontId="43" fillId="0" borderId="0" xfId="10" applyFont="1" applyProtection="1"/>
    <xf numFmtId="0" fontId="40" fillId="0" borderId="0" xfId="10" applyFont="1" applyAlignment="1" applyProtection="1">
      <alignment horizontal="center"/>
    </xf>
    <xf numFmtId="0" fontId="40" fillId="0" borderId="0" xfId="10" applyFont="1" applyProtection="1">
      <protection locked="0"/>
    </xf>
    <xf numFmtId="0" fontId="2" fillId="0" borderId="61" xfId="10" applyFont="1" applyBorder="1" applyProtection="1">
      <protection locked="0"/>
    </xf>
    <xf numFmtId="0" fontId="135" fillId="6" borderId="0" xfId="1" applyFont="1" applyFill="1" applyBorder="1" applyProtection="1"/>
    <xf numFmtId="0" fontId="126" fillId="6" borderId="1" xfId="1" applyFont="1" applyFill="1" applyBorder="1" applyProtection="1"/>
    <xf numFmtId="0" fontId="139" fillId="6" borderId="1" xfId="1" applyFont="1" applyFill="1" applyBorder="1" applyProtection="1"/>
    <xf numFmtId="0" fontId="126" fillId="6" borderId="10" xfId="1" applyFont="1" applyFill="1" applyBorder="1" applyProtection="1"/>
    <xf numFmtId="0" fontId="96" fillId="0" borderId="0" xfId="1" applyFont="1" applyProtection="1"/>
    <xf numFmtId="0" fontId="35" fillId="0" borderId="52" xfId="9" applyFont="1" applyBorder="1" applyAlignment="1" applyProtection="1">
      <alignment vertical="center"/>
    </xf>
    <xf numFmtId="0" fontId="35" fillId="0" borderId="60" xfId="9" applyFont="1" applyBorder="1" applyAlignment="1" applyProtection="1">
      <alignment vertical="center"/>
    </xf>
    <xf numFmtId="49" fontId="127" fillId="22" borderId="3" xfId="9" applyNumberFormat="1" applyFont="1" applyFill="1" applyBorder="1" applyAlignment="1" applyProtection="1">
      <alignment horizontal="left" vertical="top"/>
      <protection locked="0"/>
    </xf>
    <xf numFmtId="0" fontId="127" fillId="22" borderId="6" xfId="9" applyFont="1" applyFill="1" applyBorder="1" applyAlignment="1" applyProtection="1">
      <alignment vertical="top" wrapText="1"/>
      <protection locked="0"/>
    </xf>
    <xf numFmtId="0" fontId="127" fillId="22" borderId="7" xfId="9" applyFont="1" applyFill="1" applyBorder="1" applyAlignment="1" applyProtection="1">
      <alignment vertical="top" wrapText="1"/>
      <protection locked="0"/>
    </xf>
    <xf numFmtId="0" fontId="127" fillId="22" borderId="6" xfId="9" applyFont="1" applyFill="1" applyBorder="1" applyAlignment="1" applyProtection="1">
      <alignment vertical="top"/>
      <protection locked="0"/>
    </xf>
    <xf numFmtId="0" fontId="127" fillId="22" borderId="7" xfId="9" applyFont="1" applyFill="1" applyBorder="1" applyAlignment="1" applyProtection="1">
      <alignment vertical="top"/>
      <protection locked="0"/>
    </xf>
    <xf numFmtId="49" fontId="127" fillId="22" borderId="12" xfId="9" applyNumberFormat="1" applyFont="1" applyFill="1" applyBorder="1" applyAlignment="1" applyProtection="1">
      <alignment horizontal="left" vertical="top"/>
      <protection locked="0"/>
    </xf>
    <xf numFmtId="0" fontId="147" fillId="4" borderId="5" xfId="9" applyFont="1" applyFill="1" applyBorder="1" applyAlignment="1" applyProtection="1">
      <alignment vertical="top"/>
      <protection locked="0"/>
    </xf>
    <xf numFmtId="0" fontId="124" fillId="4" borderId="6" xfId="9" applyFont="1" applyFill="1" applyBorder="1" applyAlignment="1" applyProtection="1">
      <alignment vertical="top" wrapText="1"/>
      <protection locked="0"/>
    </xf>
    <xf numFmtId="0" fontId="124" fillId="4" borderId="7" xfId="9" applyFont="1" applyFill="1" applyBorder="1" applyAlignment="1" applyProtection="1">
      <alignment vertical="top" wrapText="1"/>
      <protection locked="0"/>
    </xf>
    <xf numFmtId="0" fontId="124" fillId="4" borderId="11" xfId="9" applyFont="1" applyFill="1" applyBorder="1" applyProtection="1">
      <protection locked="0"/>
    </xf>
    <xf numFmtId="0" fontId="124" fillId="4" borderId="5" xfId="9" applyFont="1" applyFill="1" applyBorder="1" applyAlignment="1" applyProtection="1">
      <alignment vertical="top"/>
      <protection locked="0"/>
    </xf>
    <xf numFmtId="0" fontId="124" fillId="4" borderId="6" xfId="9" applyFont="1" applyFill="1" applyBorder="1" applyAlignment="1" applyProtection="1">
      <alignment vertical="top"/>
      <protection locked="0"/>
    </xf>
    <xf numFmtId="0" fontId="124" fillId="4" borderId="7" xfId="9" applyFont="1" applyFill="1" applyBorder="1" applyAlignment="1" applyProtection="1">
      <alignment vertical="top"/>
      <protection locked="0"/>
    </xf>
    <xf numFmtId="0" fontId="127" fillId="22" borderId="0" xfId="1" applyFont="1" applyFill="1" applyBorder="1" applyProtection="1">
      <protection locked="0"/>
    </xf>
    <xf numFmtId="0" fontId="127" fillId="22" borderId="3" xfId="1" applyFont="1" applyFill="1" applyBorder="1" applyAlignment="1" applyProtection="1">
      <alignment horizontal="left"/>
      <protection locked="0"/>
    </xf>
    <xf numFmtId="0" fontId="126" fillId="0" borderId="11" xfId="1" applyFont="1" applyBorder="1" applyAlignment="1" applyProtection="1">
      <alignment horizontal="center" vertical="top"/>
      <protection locked="0"/>
    </xf>
    <xf numFmtId="0" fontId="126" fillId="0" borderId="11" xfId="1" applyFont="1" applyFill="1" applyBorder="1" applyAlignment="1" applyProtection="1">
      <alignment horizontal="center" vertical="top"/>
      <protection locked="0"/>
    </xf>
    <xf numFmtId="2" fontId="127" fillId="0" borderId="11" xfId="1" applyNumberFormat="1" applyFont="1" applyBorder="1" applyAlignment="1" applyProtection="1">
      <alignment horizontal="center" vertical="center"/>
      <protection locked="0"/>
    </xf>
    <xf numFmtId="49" fontId="126" fillId="4" borderId="5" xfId="9" applyNumberFormat="1" applyFont="1" applyFill="1" applyBorder="1" applyAlignment="1" applyProtection="1">
      <alignment vertical="top" wrapText="1"/>
      <protection locked="0"/>
    </xf>
    <xf numFmtId="49" fontId="127" fillId="4" borderId="6" xfId="9" applyNumberFormat="1" applyFont="1" applyFill="1" applyBorder="1" applyAlignment="1" applyProtection="1">
      <alignment vertical="top" wrapText="1"/>
      <protection locked="0"/>
    </xf>
    <xf numFmtId="49" fontId="126" fillId="4" borderId="7" xfId="9" applyNumberFormat="1" applyFont="1" applyFill="1" applyBorder="1" applyAlignment="1" applyProtection="1">
      <alignment vertical="top" wrapText="1"/>
      <protection locked="0"/>
    </xf>
    <xf numFmtId="0" fontId="126" fillId="4" borderId="11" xfId="1" applyFont="1" applyFill="1" applyBorder="1" applyAlignment="1" applyProtection="1">
      <alignment horizontal="center" vertical="top"/>
      <protection locked="0"/>
    </xf>
    <xf numFmtId="2" fontId="127" fillId="4" borderId="11" xfId="1" applyNumberFormat="1" applyFont="1" applyFill="1" applyBorder="1" applyAlignment="1" applyProtection="1">
      <alignment horizontal="center" vertical="center"/>
      <protection locked="0"/>
    </xf>
    <xf numFmtId="49" fontId="127" fillId="4" borderId="6" xfId="9" applyNumberFormat="1" applyFont="1" applyFill="1" applyBorder="1" applyAlignment="1" applyProtection="1">
      <alignment vertical="top"/>
      <protection locked="0"/>
    </xf>
    <xf numFmtId="0" fontId="127" fillId="22" borderId="6" xfId="1" applyFont="1" applyFill="1" applyBorder="1" applyAlignment="1" applyProtection="1">
      <alignment horizontal="left"/>
      <protection locked="0"/>
    </xf>
    <xf numFmtId="0" fontId="132" fillId="0" borderId="22" xfId="1" applyFont="1" applyFill="1" applyBorder="1" applyAlignment="1" applyProtection="1">
      <alignment vertical="top" wrapText="1" shrinkToFit="1"/>
      <protection locked="0"/>
    </xf>
    <xf numFmtId="0" fontId="132" fillId="0" borderId="13" xfId="1" applyFont="1" applyFill="1" applyBorder="1" applyAlignment="1" applyProtection="1">
      <alignment vertical="top" wrapText="1" shrinkToFit="1"/>
      <protection locked="0"/>
    </xf>
    <xf numFmtId="0" fontId="132" fillId="0" borderId="22" xfId="1" applyFont="1" applyFill="1" applyBorder="1" applyAlignment="1" applyProtection="1">
      <alignment horizontal="center" vertical="top" wrapText="1" shrinkToFit="1"/>
      <protection locked="0"/>
    </xf>
    <xf numFmtId="0" fontId="153" fillId="4" borderId="16" xfId="9" applyFont="1" applyFill="1" applyBorder="1" applyAlignment="1" applyProtection="1">
      <alignment vertical="top" wrapText="1"/>
      <protection locked="0"/>
    </xf>
    <xf numFmtId="0" fontId="153" fillId="4" borderId="17" xfId="9" applyFont="1" applyFill="1" applyBorder="1" applyAlignment="1" applyProtection="1">
      <alignment vertical="top" wrapText="1"/>
      <protection locked="0"/>
    </xf>
    <xf numFmtId="0" fontId="132" fillId="4" borderId="14" xfId="1" applyFont="1" applyFill="1" applyBorder="1" applyAlignment="1" applyProtection="1">
      <alignment vertical="top" wrapText="1" shrinkToFit="1"/>
      <protection locked="0"/>
    </xf>
    <xf numFmtId="0" fontId="143" fillId="4" borderId="15" xfId="1" applyFont="1" applyFill="1" applyBorder="1" applyAlignment="1" applyProtection="1">
      <alignment vertical="top" wrapText="1" shrinkToFit="1"/>
      <protection locked="0"/>
    </xf>
    <xf numFmtId="0" fontId="143" fillId="4" borderId="16" xfId="1" applyFont="1" applyFill="1" applyBorder="1" applyAlignment="1" applyProtection="1">
      <alignment vertical="top" wrapText="1" shrinkToFit="1"/>
      <protection locked="0"/>
    </xf>
    <xf numFmtId="0" fontId="143" fillId="4" borderId="17" xfId="1" applyFont="1" applyFill="1" applyBorder="1" applyAlignment="1" applyProtection="1">
      <alignment vertical="top" wrapText="1" shrinkToFit="1"/>
      <protection locked="0"/>
    </xf>
    <xf numFmtId="0" fontId="132" fillId="4" borderId="17" xfId="1" applyFont="1" applyFill="1" applyBorder="1" applyAlignment="1" applyProtection="1">
      <alignment vertical="top" wrapText="1" shrinkToFit="1"/>
      <protection locked="0"/>
    </xf>
    <xf numFmtId="0" fontId="132" fillId="4" borderId="14" xfId="1" applyFont="1" applyFill="1" applyBorder="1" applyAlignment="1" applyProtection="1">
      <alignment horizontal="center" vertical="top" wrapText="1" shrinkToFit="1"/>
      <protection locked="0"/>
    </xf>
    <xf numFmtId="0" fontId="147" fillId="4" borderId="15" xfId="9" applyFont="1" applyFill="1" applyBorder="1" applyAlignment="1" applyProtection="1">
      <alignment vertical="top"/>
      <protection locked="0"/>
    </xf>
    <xf numFmtId="2" fontId="127" fillId="23" borderId="11" xfId="1" applyNumberFormat="1" applyFont="1" applyFill="1" applyBorder="1" applyAlignment="1" applyProtection="1">
      <alignment horizontal="center"/>
      <protection locked="0"/>
    </xf>
    <xf numFmtId="0" fontId="127" fillId="22" borderId="31" xfId="9" applyFont="1" applyFill="1" applyBorder="1" applyAlignment="1" applyProtection="1">
      <alignment horizontal="center" vertical="center"/>
      <protection locked="0"/>
    </xf>
    <xf numFmtId="0" fontId="132" fillId="18" borderId="2" xfId="1" applyFont="1" applyFill="1" applyBorder="1" applyAlignment="1" applyProtection="1">
      <alignment horizontal="center" vertical="top" wrapText="1" shrinkToFit="1"/>
    </xf>
    <xf numFmtId="0" fontId="132" fillId="18" borderId="8" xfId="1" applyFont="1" applyFill="1" applyBorder="1" applyAlignment="1" applyProtection="1">
      <alignment horizontal="center" vertical="top" wrapText="1" shrinkToFit="1"/>
    </xf>
    <xf numFmtId="0" fontId="132" fillId="18" borderId="2" xfId="9" applyFont="1" applyFill="1" applyBorder="1" applyAlignment="1" applyProtection="1">
      <alignment horizontal="center" vertical="center" wrapText="1" shrinkToFit="1"/>
    </xf>
    <xf numFmtId="0" fontId="126" fillId="18" borderId="9" xfId="9" applyFont="1" applyFill="1" applyBorder="1" applyAlignment="1" applyProtection="1">
      <alignment horizontal="right" vertical="top"/>
    </xf>
    <xf numFmtId="1" fontId="127" fillId="18" borderId="8" xfId="9" applyNumberFormat="1" applyFont="1" applyFill="1" applyBorder="1" applyAlignment="1" applyProtection="1">
      <alignment horizontal="center" vertical="center"/>
    </xf>
    <xf numFmtId="0" fontId="126" fillId="0" borderId="0" xfId="9" applyFont="1" applyFill="1" applyBorder="1" applyAlignment="1" applyProtection="1">
      <alignment horizontal="left" vertical="top" wrapText="1"/>
      <protection locked="0"/>
    </xf>
    <xf numFmtId="0" fontId="0" fillId="0" borderId="11" xfId="0" applyBorder="1" applyProtection="1">
      <protection locked="0"/>
    </xf>
    <xf numFmtId="0" fontId="6" fillId="0" borderId="11" xfId="9" applyFont="1" applyFill="1" applyBorder="1" applyProtection="1">
      <protection locked="0"/>
    </xf>
    <xf numFmtId="0" fontId="6" fillId="0" borderId="11" xfId="9" applyFont="1" applyBorder="1" applyProtection="1">
      <protection locked="0"/>
    </xf>
    <xf numFmtId="49" fontId="127" fillId="4" borderId="3" xfId="9" applyNumberFormat="1" applyFont="1" applyFill="1" applyBorder="1" applyAlignment="1" applyProtection="1">
      <alignment vertical="top" wrapText="1"/>
      <protection locked="0"/>
    </xf>
    <xf numFmtId="49" fontId="127" fillId="4" borderId="4" xfId="9" applyNumberFormat="1" applyFont="1" applyFill="1" applyBorder="1" applyAlignment="1" applyProtection="1">
      <alignment vertical="top" wrapText="1"/>
      <protection locked="0"/>
    </xf>
    <xf numFmtId="49" fontId="127" fillId="4" borderId="31" xfId="9" applyNumberFormat="1" applyFont="1" applyFill="1" applyBorder="1" applyAlignment="1" applyProtection="1">
      <alignment vertical="top" wrapText="1"/>
      <protection locked="0"/>
    </xf>
    <xf numFmtId="0" fontId="127" fillId="4" borderId="2" xfId="9" applyFont="1" applyFill="1" applyBorder="1" applyAlignment="1" applyProtection="1">
      <alignment horizontal="center" vertical="top"/>
      <protection locked="0"/>
    </xf>
    <xf numFmtId="0" fontId="155" fillId="4" borderId="2" xfId="9" applyFont="1" applyFill="1" applyBorder="1" applyAlignment="1" applyProtection="1">
      <alignment horizontal="center" vertical="top" wrapText="1"/>
      <protection locked="0"/>
    </xf>
    <xf numFmtId="49" fontId="127" fillId="4" borderId="12" xfId="9" applyNumberFormat="1" applyFont="1" applyFill="1" applyBorder="1" applyAlignment="1" applyProtection="1">
      <alignment vertical="top" wrapText="1"/>
      <protection locked="0"/>
    </xf>
    <xf numFmtId="49" fontId="127" fillId="4" borderId="0" xfId="9" applyNumberFormat="1" applyFont="1" applyFill="1" applyBorder="1" applyAlignment="1" applyProtection="1">
      <alignment vertical="top" wrapText="1"/>
      <protection locked="0"/>
    </xf>
    <xf numFmtId="49" fontId="127" fillId="4" borderId="13" xfId="9" applyNumberFormat="1" applyFont="1" applyFill="1" applyBorder="1" applyAlignment="1" applyProtection="1">
      <alignment vertical="top" wrapText="1"/>
      <protection locked="0"/>
    </xf>
    <xf numFmtId="0" fontId="127" fillId="4" borderId="22" xfId="9" applyFont="1" applyFill="1" applyBorder="1" applyAlignment="1" applyProtection="1">
      <alignment horizontal="center" vertical="top"/>
      <protection locked="0"/>
    </xf>
    <xf numFmtId="0" fontId="155" fillId="4" borderId="22" xfId="9" applyFont="1" applyFill="1" applyBorder="1" applyAlignment="1" applyProtection="1">
      <alignment horizontal="center" vertical="top" wrapText="1"/>
      <protection locked="0"/>
    </xf>
    <xf numFmtId="49" fontId="127" fillId="4" borderId="0" xfId="9" applyNumberFormat="1" applyFont="1" applyFill="1" applyBorder="1" applyAlignment="1" applyProtection="1">
      <alignment vertical="top"/>
      <protection locked="0"/>
    </xf>
    <xf numFmtId="0" fontId="126" fillId="0" borderId="170" xfId="9" applyFont="1" applyFill="1" applyBorder="1" applyAlignment="1" applyProtection="1">
      <alignment horizontal="center" vertical="top"/>
      <protection locked="0"/>
    </xf>
    <xf numFmtId="0" fontId="155" fillId="0" borderId="170" xfId="9" applyFont="1" applyFill="1" applyBorder="1" applyAlignment="1" applyProtection="1">
      <alignment horizontal="center" vertical="top" wrapText="1"/>
      <protection locked="0"/>
    </xf>
    <xf numFmtId="0" fontId="126" fillId="0" borderId="3" xfId="1" applyFont="1" applyBorder="1" applyAlignment="1" applyProtection="1">
      <alignment horizontal="center" vertical="center"/>
    </xf>
    <xf numFmtId="1" fontId="126" fillId="0" borderId="4" xfId="1" applyNumberFormat="1" applyFont="1" applyBorder="1" applyAlignment="1" applyProtection="1">
      <alignment horizontal="center" vertical="center"/>
    </xf>
    <xf numFmtId="0" fontId="126" fillId="0" borderId="203" xfId="1" applyFont="1" applyBorder="1" applyAlignment="1" applyProtection="1">
      <alignment horizontal="center" vertical="center"/>
    </xf>
    <xf numFmtId="1" fontId="126" fillId="0" borderId="204" xfId="1" applyNumberFormat="1" applyFont="1" applyBorder="1" applyAlignment="1" applyProtection="1">
      <alignment horizontal="center" vertical="center"/>
    </xf>
    <xf numFmtId="2" fontId="127" fillId="0" borderId="205" xfId="1" applyNumberFormat="1" applyFont="1" applyBorder="1" applyAlignment="1" applyProtection="1">
      <alignment horizontal="center" vertical="center"/>
    </xf>
    <xf numFmtId="2" fontId="127" fillId="0" borderId="206" xfId="1" applyNumberFormat="1" applyFont="1" applyBorder="1" applyAlignment="1" applyProtection="1">
      <alignment horizontal="center" vertical="center"/>
    </xf>
    <xf numFmtId="0" fontId="139" fillId="0" borderId="0" xfId="1" applyFont="1" applyFill="1" applyBorder="1" applyAlignment="1" applyProtection="1">
      <alignment vertical="top"/>
    </xf>
    <xf numFmtId="0" fontId="127" fillId="22" borderId="11" xfId="1" applyFont="1" applyFill="1" applyBorder="1" applyAlignment="1" applyProtection="1">
      <alignment horizontal="left"/>
      <protection locked="0"/>
    </xf>
    <xf numFmtId="0" fontId="127" fillId="22" borderId="11" xfId="1" applyFont="1" applyFill="1" applyBorder="1" applyAlignment="1" applyProtection="1">
      <alignment horizontal="center"/>
      <protection locked="0"/>
    </xf>
    <xf numFmtId="0" fontId="127" fillId="22" borderId="5" xfId="1" applyFont="1" applyFill="1" applyBorder="1" applyAlignment="1" applyProtection="1">
      <alignment horizontal="center"/>
      <protection locked="0"/>
    </xf>
    <xf numFmtId="0" fontId="127" fillId="22" borderId="6" xfId="1" applyFont="1" applyFill="1" applyBorder="1" applyAlignment="1" applyProtection="1">
      <alignment horizontal="center"/>
      <protection locked="0"/>
    </xf>
    <xf numFmtId="0" fontId="127" fillId="22" borderId="7" xfId="1" applyFont="1" applyFill="1" applyBorder="1" applyAlignment="1" applyProtection="1">
      <alignment horizontal="center"/>
      <protection locked="0"/>
    </xf>
    <xf numFmtId="0" fontId="127" fillId="4" borderId="11" xfId="1" applyFont="1" applyFill="1" applyBorder="1" applyAlignment="1" applyProtection="1">
      <alignment horizontal="center" vertical="top"/>
      <protection locked="0"/>
    </xf>
    <xf numFmtId="0" fontId="126" fillId="22" borderId="11" xfId="1" applyFont="1" applyFill="1" applyBorder="1" applyAlignment="1" applyProtection="1">
      <alignment horizontal="center"/>
      <protection locked="0"/>
    </xf>
    <xf numFmtId="0" fontId="126" fillId="22" borderId="11" xfId="1" applyFont="1" applyFill="1" applyBorder="1" applyProtection="1">
      <protection locked="0"/>
    </xf>
    <xf numFmtId="2" fontId="127" fillId="22" borderId="11" xfId="1" applyNumberFormat="1" applyFont="1" applyFill="1" applyBorder="1" applyAlignment="1" applyProtection="1">
      <alignment horizontal="center" vertical="center"/>
      <protection locked="0"/>
    </xf>
    <xf numFmtId="2" fontId="126" fillId="22" borderId="5" xfId="1" applyNumberFormat="1" applyFont="1" applyFill="1" applyBorder="1" applyAlignment="1" applyProtection="1">
      <alignment horizontal="center"/>
      <protection locked="0"/>
    </xf>
    <xf numFmtId="0" fontId="126" fillId="22" borderId="6" xfId="1" applyFont="1" applyFill="1" applyBorder="1" applyAlignment="1" applyProtection="1">
      <alignment horizontal="center"/>
      <protection locked="0"/>
    </xf>
    <xf numFmtId="0" fontId="126" fillId="22" borderId="7" xfId="1" applyFont="1" applyFill="1" applyBorder="1" applyAlignment="1" applyProtection="1">
      <alignment horizontal="center"/>
      <protection locked="0"/>
    </xf>
    <xf numFmtId="0" fontId="126" fillId="22" borderId="5" xfId="1" applyFont="1" applyFill="1" applyBorder="1" applyAlignment="1" applyProtection="1">
      <alignment horizontal="center"/>
      <protection locked="0"/>
    </xf>
    <xf numFmtId="0" fontId="127" fillId="22" borderId="11" xfId="1" applyFont="1" applyFill="1" applyBorder="1" applyAlignment="1" applyProtection="1">
      <alignment horizontal="center" vertical="center"/>
      <protection locked="0"/>
    </xf>
    <xf numFmtId="0" fontId="127" fillId="22" borderId="7" xfId="1" applyFont="1" applyFill="1" applyBorder="1" applyAlignment="1" applyProtection="1">
      <alignment horizontal="left"/>
      <protection locked="0"/>
    </xf>
    <xf numFmtId="0" fontId="132" fillId="4" borderId="17" xfId="1" applyFont="1" applyFill="1" applyBorder="1" applyAlignment="1" applyProtection="1">
      <alignment horizontal="center" vertical="top" wrapText="1" shrinkToFit="1"/>
      <protection locked="0"/>
    </xf>
    <xf numFmtId="1" fontId="126" fillId="0" borderId="7" xfId="9" applyNumberFormat="1" applyFont="1" applyFill="1" applyBorder="1" applyAlignment="1" applyProtection="1">
      <alignment horizontal="center" vertical="center" wrapText="1"/>
    </xf>
    <xf numFmtId="1" fontId="126" fillId="0" borderId="10" xfId="9" applyNumberFormat="1" applyFont="1" applyFill="1" applyBorder="1" applyAlignment="1" applyProtection="1">
      <alignment horizontal="center" vertical="center" wrapText="1"/>
    </xf>
    <xf numFmtId="0" fontId="126" fillId="0" borderId="0" xfId="1" applyFont="1" applyAlignment="1">
      <alignment horizontal="left" vertical="top" wrapText="1"/>
    </xf>
    <xf numFmtId="0" fontId="129" fillId="0" borderId="0" xfId="1" applyFont="1" applyAlignment="1">
      <alignment horizontal="left" vertical="top" wrapText="1"/>
    </xf>
    <xf numFmtId="0" fontId="123" fillId="0" borderId="0" xfId="1" applyFont="1" applyAlignment="1">
      <alignment horizontal="center"/>
    </xf>
    <xf numFmtId="0" fontId="134" fillId="0" borderId="11" xfId="0" applyFont="1" applyBorder="1" applyAlignment="1">
      <alignment horizontal="center" vertical="center"/>
    </xf>
    <xf numFmtId="0" fontId="134" fillId="0" borderId="11" xfId="0" applyFont="1" applyBorder="1" applyAlignment="1">
      <alignment horizontal="center" vertical="center" wrapText="1"/>
    </xf>
    <xf numFmtId="0" fontId="134" fillId="0" borderId="3" xfId="0" applyFont="1" applyBorder="1" applyAlignment="1">
      <alignment horizontal="center" vertical="center"/>
    </xf>
    <xf numFmtId="0" fontId="134" fillId="0" borderId="31" xfId="0" applyFont="1" applyBorder="1" applyAlignment="1">
      <alignment horizontal="center" vertical="center"/>
    </xf>
    <xf numFmtId="0" fontId="134" fillId="0" borderId="9" xfId="0" applyFont="1" applyBorder="1" applyAlignment="1">
      <alignment horizontal="center" vertical="center"/>
    </xf>
    <xf numFmtId="0" fontId="134" fillId="0" borderId="10" xfId="0" applyFont="1" applyBorder="1" applyAlignment="1">
      <alignment horizontal="center" vertical="center"/>
    </xf>
    <xf numFmtId="0" fontId="134" fillId="0" borderId="11" xfId="0" applyFont="1" applyBorder="1" applyAlignment="1">
      <alignment horizontal="center"/>
    </xf>
    <xf numFmtId="0" fontId="134" fillId="0" borderId="5" xfId="0" applyFont="1" applyBorder="1" applyAlignment="1">
      <alignment horizontal="center"/>
    </xf>
    <xf numFmtId="0" fontId="134" fillId="0" borderId="6" xfId="0" applyFont="1" applyBorder="1" applyAlignment="1">
      <alignment horizontal="center"/>
    </xf>
    <xf numFmtId="0" fontId="134" fillId="0" borderId="7" xfId="0" applyFont="1" applyBorder="1" applyAlignment="1">
      <alignment horizontal="center"/>
    </xf>
    <xf numFmtId="0" fontId="8" fillId="0" borderId="5" xfId="9" applyFont="1" applyFill="1" applyBorder="1" applyAlignment="1" applyProtection="1">
      <alignment horizontal="center"/>
      <protection locked="0"/>
    </xf>
    <xf numFmtId="0" fontId="8" fillId="0" borderId="6" xfId="9" applyFont="1" applyFill="1" applyBorder="1" applyAlignment="1" applyProtection="1">
      <alignment horizontal="center"/>
      <protection locked="0"/>
    </xf>
    <xf numFmtId="0" fontId="8" fillId="0" borderId="7" xfId="9" applyFon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24" fillId="0" borderId="5" xfId="9" applyFont="1" applyBorder="1" applyAlignment="1" applyProtection="1">
      <alignment horizontal="left" vertical="top" wrapText="1"/>
    </xf>
    <xf numFmtId="0" fontId="124" fillId="0" borderId="6" xfId="9" applyFont="1" applyBorder="1" applyAlignment="1" applyProtection="1">
      <alignment horizontal="left" vertical="top" wrapText="1"/>
    </xf>
    <xf numFmtId="0" fontId="124" fillId="0" borderId="7" xfId="9" applyFont="1" applyBorder="1" applyAlignment="1" applyProtection="1">
      <alignment horizontal="left" vertical="top" wrapText="1"/>
    </xf>
    <xf numFmtId="0" fontId="126" fillId="0" borderId="32" xfId="9" applyFont="1" applyBorder="1" applyAlignment="1" applyProtection="1">
      <alignment horizontal="center" vertical="center" wrapText="1"/>
      <protection locked="0"/>
    </xf>
    <xf numFmtId="0" fontId="126" fillId="0" borderId="33" xfId="9" applyFont="1" applyBorder="1" applyAlignment="1" applyProtection="1">
      <alignment horizontal="center" vertical="center" wrapText="1"/>
      <protection locked="0"/>
    </xf>
    <xf numFmtId="0" fontId="126" fillId="0" borderId="207" xfId="9" applyFont="1" applyBorder="1" applyAlignment="1" applyProtection="1">
      <alignment horizontal="center" vertical="center" wrapText="1"/>
      <protection locked="0"/>
    </xf>
    <xf numFmtId="0" fontId="126" fillId="0" borderId="208" xfId="9" applyFont="1" applyBorder="1" applyAlignment="1" applyProtection="1">
      <alignment horizontal="center" vertical="center" wrapText="1"/>
      <protection locked="0"/>
    </xf>
    <xf numFmtId="0" fontId="124" fillId="0" borderId="5" xfId="9" applyNumberFormat="1" applyFont="1" applyBorder="1" applyAlignment="1" applyProtection="1">
      <alignment horizontal="left" vertical="top" wrapText="1"/>
    </xf>
    <xf numFmtId="0" fontId="124" fillId="0" borderId="6" xfId="9" applyNumberFormat="1" applyFont="1" applyBorder="1" applyAlignment="1" applyProtection="1">
      <alignment horizontal="left" vertical="top" wrapText="1"/>
    </xf>
    <xf numFmtId="0" fontId="124" fillId="0" borderId="7" xfId="9" applyNumberFormat="1" applyFont="1" applyBorder="1" applyAlignment="1" applyProtection="1">
      <alignment horizontal="left" vertical="top" wrapText="1"/>
    </xf>
    <xf numFmtId="49" fontId="135" fillId="0" borderId="170" xfId="9" applyNumberFormat="1" applyFont="1" applyFill="1" applyBorder="1" applyAlignment="1" applyProtection="1">
      <alignment horizontal="left" vertical="top" wrapText="1"/>
      <protection locked="0"/>
    </xf>
    <xf numFmtId="0" fontId="126" fillId="0" borderId="170" xfId="9" applyFont="1" applyFill="1" applyBorder="1" applyAlignment="1" applyProtection="1">
      <alignment horizontal="left" vertical="top" wrapText="1"/>
      <protection locked="0"/>
    </xf>
    <xf numFmtId="0" fontId="126" fillId="0" borderId="170" xfId="9" applyFont="1" applyFill="1" applyBorder="1" applyAlignment="1" applyProtection="1">
      <alignment horizontal="left" vertical="top"/>
      <protection locked="0"/>
    </xf>
    <xf numFmtId="0" fontId="126" fillId="0" borderId="170" xfId="9" applyFont="1" applyFill="1" applyBorder="1" applyAlignment="1" applyProtection="1">
      <alignment horizontal="center" vertical="top"/>
      <protection locked="0"/>
    </xf>
    <xf numFmtId="0" fontId="151" fillId="0" borderId="170" xfId="9" applyFont="1" applyFill="1" applyBorder="1" applyAlignment="1" applyProtection="1">
      <alignment horizontal="center" vertical="top" wrapText="1"/>
      <protection locked="0"/>
    </xf>
    <xf numFmtId="0" fontId="6" fillId="0" borderId="0" xfId="9" applyFont="1" applyFill="1" applyBorder="1" applyAlignment="1" applyProtection="1">
      <alignment horizontal="left" vertical="top" wrapText="1"/>
      <protection locked="0"/>
    </xf>
    <xf numFmtId="0" fontId="126" fillId="4" borderId="22" xfId="9" applyFont="1" applyFill="1" applyBorder="1" applyAlignment="1" applyProtection="1">
      <alignment horizontal="left" vertical="top" wrapText="1"/>
      <protection locked="0"/>
    </xf>
    <xf numFmtId="0" fontId="126" fillId="4" borderId="22" xfId="9" applyFont="1" applyFill="1" applyBorder="1" applyAlignment="1" applyProtection="1">
      <alignment horizontal="left" vertical="top"/>
      <protection locked="0"/>
    </xf>
    <xf numFmtId="0" fontId="126" fillId="4" borderId="22" xfId="9" applyFont="1" applyFill="1" applyBorder="1" applyAlignment="1" applyProtection="1">
      <alignment horizontal="center" vertical="top"/>
      <protection locked="0"/>
    </xf>
    <xf numFmtId="0" fontId="151" fillId="4" borderId="22" xfId="9" applyFont="1" applyFill="1" applyBorder="1" applyAlignment="1" applyProtection="1">
      <alignment horizontal="center" vertical="top" wrapText="1"/>
      <protection locked="0"/>
    </xf>
    <xf numFmtId="0" fontId="126" fillId="4" borderId="2" xfId="9" applyFont="1" applyFill="1" applyBorder="1" applyAlignment="1" applyProtection="1">
      <alignment horizontal="left" vertical="top" wrapText="1"/>
      <protection locked="0"/>
    </xf>
    <xf numFmtId="0" fontId="126" fillId="4" borderId="2" xfId="9" applyFont="1" applyFill="1" applyBorder="1" applyAlignment="1" applyProtection="1">
      <alignment horizontal="left" vertical="top"/>
      <protection locked="0"/>
    </xf>
    <xf numFmtId="0" fontId="126" fillId="4" borderId="2" xfId="9" applyFont="1" applyFill="1" applyBorder="1" applyAlignment="1" applyProtection="1">
      <alignment horizontal="center" vertical="top"/>
      <protection locked="0"/>
    </xf>
    <xf numFmtId="0" fontId="151" fillId="4" borderId="2" xfId="9" applyFont="1" applyFill="1" applyBorder="1" applyAlignment="1" applyProtection="1">
      <alignment horizontal="center" vertical="top" wrapText="1"/>
      <protection locked="0"/>
    </xf>
    <xf numFmtId="49" fontId="126" fillId="0" borderId="2" xfId="9" applyNumberFormat="1" applyFont="1" applyFill="1" applyBorder="1" applyAlignment="1" applyProtection="1">
      <alignment horizontal="left" vertical="top" wrapText="1"/>
      <protection locked="0"/>
    </xf>
    <xf numFmtId="0" fontId="126" fillId="0" borderId="3" xfId="9" applyFont="1" applyFill="1" applyBorder="1" applyAlignment="1" applyProtection="1">
      <alignment horizontal="center" vertical="top"/>
      <protection locked="0"/>
    </xf>
    <xf numFmtId="0" fontId="126" fillId="0" borderId="4" xfId="9" applyFont="1" applyFill="1" applyBorder="1" applyAlignment="1" applyProtection="1">
      <alignment horizontal="center" vertical="top"/>
      <protection locked="0"/>
    </xf>
    <xf numFmtId="0" fontId="126" fillId="0" borderId="9" xfId="9" applyFont="1" applyFill="1" applyBorder="1" applyAlignment="1" applyProtection="1">
      <alignment horizontal="center" vertical="top"/>
      <protection locked="0"/>
    </xf>
    <xf numFmtId="0" fontId="126" fillId="0" borderId="1" xfId="9" applyFont="1" applyFill="1" applyBorder="1" applyAlignment="1" applyProtection="1">
      <alignment horizontal="center" vertical="top"/>
      <protection locked="0"/>
    </xf>
    <xf numFmtId="0" fontId="127" fillId="0" borderId="3" xfId="9" applyFont="1" applyFill="1" applyBorder="1" applyAlignment="1" applyProtection="1">
      <alignment horizontal="center" vertical="top" wrapText="1"/>
      <protection locked="0"/>
    </xf>
    <xf numFmtId="0" fontId="127" fillId="0" borderId="31" xfId="9" applyFont="1" applyFill="1" applyBorder="1" applyAlignment="1" applyProtection="1">
      <alignment horizontal="center" vertical="top" wrapText="1"/>
      <protection locked="0"/>
    </xf>
    <xf numFmtId="0" fontId="127" fillId="0" borderId="9" xfId="9" applyFont="1" applyFill="1" applyBorder="1" applyAlignment="1" applyProtection="1">
      <alignment horizontal="center" vertical="top" wrapText="1"/>
      <protection locked="0"/>
    </xf>
    <xf numFmtId="0" fontId="127" fillId="0" borderId="10" xfId="9" applyFont="1" applyFill="1" applyBorder="1" applyAlignment="1" applyProtection="1">
      <alignment horizontal="center" vertical="top" wrapText="1"/>
      <protection locked="0"/>
    </xf>
    <xf numFmtId="0" fontId="127" fillId="0" borderId="2" xfId="9" applyFont="1" applyFill="1" applyBorder="1" applyAlignment="1" applyProtection="1">
      <alignment horizontal="center" vertical="top" wrapText="1"/>
      <protection locked="0"/>
    </xf>
    <xf numFmtId="0" fontId="127" fillId="0" borderId="8" xfId="9" applyFont="1" applyFill="1" applyBorder="1" applyAlignment="1" applyProtection="1">
      <alignment horizontal="center" vertical="top" wrapText="1"/>
      <protection locked="0"/>
    </xf>
    <xf numFmtId="0" fontId="126" fillId="0" borderId="31" xfId="9" applyFont="1" applyFill="1" applyBorder="1" applyAlignment="1" applyProtection="1">
      <alignment horizontal="center" vertical="center"/>
      <protection locked="0"/>
    </xf>
    <xf numFmtId="0" fontId="126" fillId="0" borderId="10" xfId="9" applyFont="1" applyFill="1" applyBorder="1" applyAlignment="1" applyProtection="1">
      <alignment horizontal="center" vertical="center"/>
      <protection locked="0"/>
    </xf>
    <xf numFmtId="0" fontId="126" fillId="0" borderId="201" xfId="9" applyFont="1" applyFill="1" applyBorder="1" applyAlignment="1" applyProtection="1">
      <alignment horizontal="center" vertical="top"/>
      <protection locked="0"/>
    </xf>
    <xf numFmtId="0" fontId="126" fillId="0" borderId="202" xfId="9" applyFont="1" applyFill="1" applyBorder="1" applyAlignment="1" applyProtection="1">
      <alignment horizontal="center" vertical="top"/>
      <protection locked="0"/>
    </xf>
    <xf numFmtId="0" fontId="127" fillId="22" borderId="12" xfId="9" applyFont="1" applyFill="1" applyBorder="1" applyAlignment="1" applyProtection="1">
      <alignment horizontal="center" vertical="center"/>
      <protection locked="0"/>
    </xf>
    <xf numFmtId="0" fontId="127" fillId="22" borderId="13" xfId="9" applyFont="1" applyFill="1" applyBorder="1" applyAlignment="1" applyProtection="1">
      <alignment horizontal="center" vertical="center"/>
      <protection locked="0"/>
    </xf>
    <xf numFmtId="0" fontId="127" fillId="22" borderId="3" xfId="9" applyFont="1" applyFill="1" applyBorder="1" applyAlignment="1" applyProtection="1">
      <alignment horizontal="center"/>
      <protection locked="0"/>
    </xf>
    <xf numFmtId="0" fontId="127" fillId="22" borderId="31" xfId="9" applyFont="1" applyFill="1" applyBorder="1" applyAlignment="1" applyProtection="1">
      <alignment horizontal="center"/>
      <protection locked="0"/>
    </xf>
    <xf numFmtId="0" fontId="12" fillId="0" borderId="0" xfId="9" applyFont="1" applyFill="1" applyBorder="1" applyAlignment="1" applyProtection="1">
      <alignment horizontal="center"/>
      <protection locked="0"/>
    </xf>
    <xf numFmtId="0" fontId="124" fillId="6" borderId="0" xfId="9" applyFont="1" applyFill="1" applyBorder="1" applyAlignment="1" applyProtection="1">
      <alignment horizontal="left" vertical="top" wrapText="1"/>
      <protection locked="0"/>
    </xf>
    <xf numFmtId="0" fontId="127" fillId="22" borderId="3" xfId="9" applyFont="1" applyFill="1" applyBorder="1" applyAlignment="1" applyProtection="1">
      <alignment horizontal="center" vertical="center"/>
      <protection locked="0"/>
    </xf>
    <xf numFmtId="0" fontId="127" fillId="22" borderId="31" xfId="9" applyFont="1" applyFill="1" applyBorder="1" applyAlignment="1" applyProtection="1">
      <alignment horizontal="center" vertical="center"/>
      <protection locked="0"/>
    </xf>
    <xf numFmtId="49" fontId="172" fillId="0" borderId="8" xfId="9" applyNumberFormat="1" applyFont="1" applyFill="1" applyBorder="1" applyAlignment="1" applyProtection="1">
      <alignment horizontal="left" vertical="top" wrapText="1"/>
      <protection locked="0"/>
    </xf>
    <xf numFmtId="0" fontId="125" fillId="6" borderId="5" xfId="9" applyFont="1" applyFill="1" applyBorder="1" applyAlignment="1" applyProtection="1">
      <alignment horizontal="center" vertical="center"/>
      <protection locked="0"/>
    </xf>
    <xf numFmtId="0" fontId="125" fillId="6" borderId="6" xfId="9" applyFont="1" applyFill="1" applyBorder="1" applyAlignment="1" applyProtection="1">
      <alignment horizontal="center" vertical="center"/>
      <protection locked="0"/>
    </xf>
    <xf numFmtId="0" fontId="125" fillId="6" borderId="7" xfId="9" applyFont="1" applyFill="1" applyBorder="1" applyAlignment="1" applyProtection="1">
      <alignment horizontal="center" vertical="center"/>
      <protection locked="0"/>
    </xf>
    <xf numFmtId="0" fontId="147" fillId="0" borderId="5" xfId="9" applyFont="1" applyBorder="1" applyAlignment="1" applyProtection="1">
      <alignment horizontal="center"/>
    </xf>
    <xf numFmtId="0" fontId="147" fillId="0" borderId="7" xfId="9" applyFont="1" applyBorder="1" applyAlignment="1" applyProtection="1">
      <alignment horizontal="center"/>
    </xf>
    <xf numFmtId="0" fontId="147" fillId="0" borderId="11" xfId="9" applyFont="1" applyBorder="1" applyAlignment="1" applyProtection="1">
      <alignment horizontal="center"/>
    </xf>
    <xf numFmtId="0" fontId="147" fillId="0" borderId="6" xfId="9" applyFont="1" applyBorder="1" applyAlignment="1" applyProtection="1">
      <alignment horizontal="center"/>
    </xf>
    <xf numFmtId="0" fontId="124" fillId="0" borderId="27" xfId="9" applyFont="1" applyBorder="1" applyAlignment="1" applyProtection="1">
      <alignment horizontal="center"/>
    </xf>
    <xf numFmtId="0" fontId="124" fillId="0" borderId="30" xfId="9" applyFont="1" applyBorder="1" applyAlignment="1" applyProtection="1">
      <alignment horizontal="center"/>
    </xf>
    <xf numFmtId="0" fontId="124" fillId="0" borderId="23" xfId="9" applyFont="1" applyBorder="1" applyAlignment="1" applyProtection="1">
      <alignment horizontal="center"/>
    </xf>
    <xf numFmtId="0" fontId="124" fillId="0" borderId="26" xfId="9" applyFont="1" applyBorder="1" applyAlignment="1" applyProtection="1">
      <alignment horizontal="center"/>
    </xf>
    <xf numFmtId="0" fontId="147" fillId="0" borderId="9" xfId="9" applyFont="1" applyBorder="1" applyAlignment="1" applyProtection="1">
      <alignment horizontal="center"/>
    </xf>
    <xf numFmtId="0" fontId="147" fillId="0" borderId="1" xfId="9" applyFont="1" applyBorder="1" applyAlignment="1" applyProtection="1">
      <alignment horizontal="center"/>
    </xf>
    <xf numFmtId="0" fontId="147" fillId="0" borderId="10" xfId="9" applyFont="1" applyBorder="1" applyAlignment="1" applyProtection="1">
      <alignment horizontal="center"/>
    </xf>
    <xf numFmtId="0" fontId="124" fillId="0" borderId="15" xfId="9" applyFont="1" applyBorder="1" applyAlignment="1" applyProtection="1">
      <alignment horizontal="left"/>
    </xf>
    <xf numFmtId="0" fontId="124" fillId="0" borderId="16" xfId="9" applyFont="1" applyBorder="1" applyAlignment="1" applyProtection="1">
      <alignment horizontal="left"/>
    </xf>
    <xf numFmtId="0" fontId="124" fillId="0" borderId="17" xfId="9" applyFont="1" applyBorder="1" applyAlignment="1" applyProtection="1">
      <alignment horizontal="left"/>
    </xf>
    <xf numFmtId="0" fontId="124" fillId="0" borderId="19" xfId="9" applyFont="1" applyBorder="1" applyAlignment="1" applyProtection="1">
      <alignment horizontal="center"/>
    </xf>
    <xf numFmtId="0" fontId="124" fillId="0" borderId="21" xfId="9" applyFont="1" applyBorder="1" applyAlignment="1" applyProtection="1">
      <alignment horizontal="center"/>
    </xf>
    <xf numFmtId="0" fontId="127" fillId="22" borderId="4" xfId="9" applyFont="1" applyFill="1" applyBorder="1" applyAlignment="1" applyProtection="1">
      <alignment horizontal="center" vertical="center"/>
      <protection locked="0"/>
    </xf>
    <xf numFmtId="49" fontId="124" fillId="0" borderId="2" xfId="9" applyNumberFormat="1" applyFont="1" applyBorder="1" applyAlignment="1" applyProtection="1">
      <alignment horizontal="right" vertical="top"/>
    </xf>
    <xf numFmtId="49" fontId="124" fillId="0" borderId="8" xfId="9" applyNumberFormat="1" applyFont="1" applyBorder="1" applyAlignment="1" applyProtection="1">
      <alignment horizontal="right" vertical="top"/>
    </xf>
    <xf numFmtId="0" fontId="132" fillId="18" borderId="12" xfId="9" applyFont="1" applyFill="1" applyBorder="1" applyAlignment="1" applyProtection="1">
      <alignment horizontal="center" vertical="center" shrinkToFit="1"/>
      <protection locked="0"/>
    </xf>
    <xf numFmtId="0" fontId="132" fillId="18" borderId="0" xfId="9" applyFont="1" applyFill="1" applyBorder="1" applyAlignment="1" applyProtection="1">
      <alignment horizontal="center" vertical="center" shrinkToFit="1"/>
      <protection locked="0"/>
    </xf>
    <xf numFmtId="0" fontId="132" fillId="18" borderId="13" xfId="9" applyFont="1" applyFill="1" applyBorder="1" applyAlignment="1" applyProtection="1">
      <alignment horizontal="center" vertical="center" shrinkToFit="1"/>
      <protection locked="0"/>
    </xf>
    <xf numFmtId="0" fontId="132" fillId="18" borderId="9" xfId="9" applyFont="1" applyFill="1" applyBorder="1" applyAlignment="1" applyProtection="1">
      <alignment horizontal="center" vertical="center" shrinkToFit="1"/>
      <protection locked="0"/>
    </xf>
    <xf numFmtId="0" fontId="132" fillId="18" borderId="1" xfId="9" applyFont="1" applyFill="1" applyBorder="1" applyAlignment="1" applyProtection="1">
      <alignment horizontal="center" vertical="center" shrinkToFit="1"/>
      <protection locked="0"/>
    </xf>
    <xf numFmtId="0" fontId="132" fillId="18" borderId="10" xfId="9" applyFont="1" applyFill="1" applyBorder="1" applyAlignment="1" applyProtection="1">
      <alignment horizontal="center" vertical="center" shrinkToFit="1"/>
      <protection locked="0"/>
    </xf>
    <xf numFmtId="0" fontId="143" fillId="18" borderId="12" xfId="9" applyFont="1" applyFill="1" applyBorder="1" applyAlignment="1" applyProtection="1">
      <alignment horizontal="center" vertical="center" wrapText="1" shrinkToFit="1"/>
      <protection locked="0"/>
    </xf>
    <xf numFmtId="0" fontId="143" fillId="18" borderId="0" xfId="9" applyFont="1" applyFill="1" applyBorder="1" applyAlignment="1" applyProtection="1">
      <alignment horizontal="center" vertical="center" wrapText="1" shrinkToFit="1"/>
      <protection locked="0"/>
    </xf>
    <xf numFmtId="0" fontId="143" fillId="18" borderId="13" xfId="9" applyFont="1" applyFill="1" applyBorder="1" applyAlignment="1" applyProtection="1">
      <alignment horizontal="center" vertical="center" wrapText="1" shrinkToFit="1"/>
      <protection locked="0"/>
    </xf>
    <xf numFmtId="0" fontId="143" fillId="18" borderId="9" xfId="9" applyFont="1" applyFill="1" applyBorder="1" applyAlignment="1" applyProtection="1">
      <alignment horizontal="center" vertical="center" wrapText="1" shrinkToFit="1"/>
      <protection locked="0"/>
    </xf>
    <xf numFmtId="0" fontId="143" fillId="18" borderId="1" xfId="9" applyFont="1" applyFill="1" applyBorder="1" applyAlignment="1" applyProtection="1">
      <alignment horizontal="center" vertical="center" wrapText="1" shrinkToFit="1"/>
      <protection locked="0"/>
    </xf>
    <xf numFmtId="0" fontId="143" fillId="18" borderId="10" xfId="9" applyFont="1" applyFill="1" applyBorder="1" applyAlignment="1" applyProtection="1">
      <alignment horizontal="center" vertical="center" wrapText="1" shrinkToFit="1"/>
      <protection locked="0"/>
    </xf>
    <xf numFmtId="0" fontId="132" fillId="18" borderId="12" xfId="9" applyFont="1" applyFill="1" applyBorder="1" applyAlignment="1" applyProtection="1">
      <alignment horizontal="center" vertical="center" wrapText="1" shrinkToFit="1"/>
      <protection locked="0"/>
    </xf>
    <xf numFmtId="0" fontId="132" fillId="18" borderId="13" xfId="9" applyFont="1" applyFill="1" applyBorder="1" applyAlignment="1" applyProtection="1">
      <alignment horizontal="center" vertical="center" wrapText="1" shrinkToFit="1"/>
      <protection locked="0"/>
    </xf>
    <xf numFmtId="0" fontId="132" fillId="18" borderId="9" xfId="9" applyFont="1" applyFill="1" applyBorder="1" applyAlignment="1" applyProtection="1">
      <alignment horizontal="center" vertical="center" wrapText="1" shrinkToFit="1"/>
      <protection locked="0"/>
    </xf>
    <xf numFmtId="0" fontId="132" fillId="18" borderId="10" xfId="9" applyFont="1" applyFill="1" applyBorder="1" applyAlignment="1" applyProtection="1">
      <alignment horizontal="center" vertical="center" wrapText="1" shrinkToFit="1"/>
      <protection locked="0"/>
    </xf>
    <xf numFmtId="0" fontId="132" fillId="18" borderId="22" xfId="9" applyFont="1" applyFill="1" applyBorder="1" applyAlignment="1" applyProtection="1">
      <alignment horizontal="center" vertical="center" wrapText="1" shrinkToFit="1"/>
      <protection locked="0"/>
    </xf>
    <xf numFmtId="0" fontId="132" fillId="18" borderId="8" xfId="9" applyFont="1" applyFill="1" applyBorder="1" applyAlignment="1" applyProtection="1">
      <alignment horizontal="center" vertical="center" wrapText="1" shrinkToFit="1"/>
      <protection locked="0"/>
    </xf>
    <xf numFmtId="0" fontId="132" fillId="18" borderId="1" xfId="9" applyFont="1" applyFill="1" applyBorder="1" applyAlignment="1" applyProtection="1">
      <alignment horizontal="center" vertical="center" wrapText="1" shrinkToFit="1"/>
      <protection locked="0"/>
    </xf>
    <xf numFmtId="0" fontId="132" fillId="18" borderId="5" xfId="9" applyFont="1" applyFill="1" applyBorder="1" applyAlignment="1" applyProtection="1">
      <alignment horizontal="center" vertical="center" wrapText="1" shrinkToFit="1"/>
      <protection locked="0"/>
    </xf>
    <xf numFmtId="0" fontId="132" fillId="18" borderId="7" xfId="9" applyFont="1" applyFill="1" applyBorder="1" applyAlignment="1" applyProtection="1">
      <alignment horizontal="center" vertical="center" wrapText="1" shrinkToFit="1"/>
      <protection locked="0"/>
    </xf>
    <xf numFmtId="49" fontId="126" fillId="0" borderId="0" xfId="9" applyNumberFormat="1" applyFont="1" applyFill="1" applyBorder="1" applyAlignment="1" applyProtection="1">
      <alignment horizontal="center"/>
      <protection locked="0"/>
    </xf>
    <xf numFmtId="49" fontId="126" fillId="21" borderId="40" xfId="9" applyNumberFormat="1" applyFont="1" applyFill="1" applyBorder="1" applyAlignment="1" applyProtection="1">
      <alignment horizontal="center"/>
      <protection locked="0"/>
    </xf>
    <xf numFmtId="49" fontId="126" fillId="21" borderId="41" xfId="9" applyNumberFormat="1" applyFont="1" applyFill="1" applyBorder="1" applyAlignment="1" applyProtection="1">
      <alignment horizontal="center"/>
      <protection locked="0"/>
    </xf>
    <xf numFmtId="49" fontId="126" fillId="21" borderId="42" xfId="9" applyNumberFormat="1" applyFont="1" applyFill="1" applyBorder="1" applyAlignment="1" applyProtection="1">
      <alignment horizontal="center"/>
      <protection locked="0"/>
    </xf>
    <xf numFmtId="0" fontId="124" fillId="0" borderId="174" xfId="9" applyFont="1" applyFill="1" applyBorder="1" applyAlignment="1" applyProtection="1">
      <alignment horizontal="center" vertical="center" wrapText="1"/>
      <protection locked="0"/>
    </xf>
    <xf numFmtId="0" fontId="124" fillId="0" borderId="175" xfId="9" applyFont="1" applyFill="1" applyBorder="1" applyAlignment="1" applyProtection="1">
      <alignment horizontal="center" vertical="center" wrapText="1"/>
      <protection locked="0"/>
    </xf>
    <xf numFmtId="0" fontId="124" fillId="0" borderId="172" xfId="9" applyFont="1" applyFill="1" applyBorder="1" applyAlignment="1" applyProtection="1">
      <alignment horizontal="center" vertical="center" wrapText="1"/>
      <protection locked="0"/>
    </xf>
    <xf numFmtId="0" fontId="124" fillId="0" borderId="173" xfId="9" applyFont="1" applyFill="1" applyBorder="1" applyAlignment="1" applyProtection="1">
      <alignment horizontal="center" vertical="center" wrapText="1"/>
      <protection locked="0"/>
    </xf>
    <xf numFmtId="0" fontId="124" fillId="0" borderId="19" xfId="9" applyFont="1" applyBorder="1" applyAlignment="1" applyProtection="1">
      <alignment horizontal="left" vertical="center" wrapText="1"/>
    </xf>
    <xf numFmtId="0" fontId="124" fillId="0" borderId="20" xfId="9" applyFont="1" applyBorder="1" applyAlignment="1" applyProtection="1">
      <alignment horizontal="left" vertical="center" wrapText="1"/>
    </xf>
    <xf numFmtId="0" fontId="126" fillId="0" borderId="31" xfId="9" applyFont="1" applyFill="1" applyBorder="1" applyAlignment="1" applyProtection="1">
      <alignment horizontal="center" vertical="center"/>
    </xf>
    <xf numFmtId="0" fontId="126" fillId="0" borderId="10" xfId="9" applyFont="1" applyFill="1" applyBorder="1" applyAlignment="1" applyProtection="1">
      <alignment horizontal="center" vertical="center"/>
    </xf>
    <xf numFmtId="0" fontId="124" fillId="0" borderId="3" xfId="9" applyFont="1" applyBorder="1" applyAlignment="1" applyProtection="1">
      <alignment horizontal="center" vertical="top" wrapText="1"/>
    </xf>
    <xf numFmtId="0" fontId="124" fillId="0" borderId="4" xfId="9" applyFont="1" applyBorder="1" applyAlignment="1" applyProtection="1">
      <alignment horizontal="center" vertical="top" wrapText="1"/>
    </xf>
    <xf numFmtId="0" fontId="124" fillId="0" borderId="31" xfId="9" applyFont="1" applyBorder="1" applyAlignment="1" applyProtection="1">
      <alignment horizontal="center" vertical="top" wrapText="1"/>
    </xf>
    <xf numFmtId="0" fontId="124" fillId="0" borderId="9" xfId="9" applyFont="1" applyBorder="1" applyAlignment="1" applyProtection="1">
      <alignment horizontal="left" vertical="top" wrapText="1"/>
    </xf>
    <xf numFmtId="0" fontId="124" fillId="0" borderId="1" xfId="9" applyFont="1" applyBorder="1" applyAlignment="1" applyProtection="1">
      <alignment horizontal="left" vertical="top" wrapText="1"/>
    </xf>
    <xf numFmtId="0" fontId="127" fillId="2" borderId="5" xfId="9" applyFont="1" applyFill="1" applyBorder="1" applyAlignment="1" applyProtection="1">
      <alignment horizontal="left" vertical="center"/>
      <protection locked="0"/>
    </xf>
    <xf numFmtId="0" fontId="127" fillId="2" borderId="6" xfId="9" applyFont="1" applyFill="1" applyBorder="1" applyAlignment="1" applyProtection="1">
      <alignment horizontal="left" vertical="center"/>
      <protection locked="0"/>
    </xf>
    <xf numFmtId="0" fontId="127" fillId="2" borderId="7" xfId="9" applyFont="1" applyFill="1" applyBorder="1" applyAlignment="1" applyProtection="1">
      <alignment horizontal="left" vertical="center"/>
      <protection locked="0"/>
    </xf>
    <xf numFmtId="0" fontId="132" fillId="18" borderId="2" xfId="9" applyFont="1" applyFill="1" applyBorder="1" applyAlignment="1" applyProtection="1">
      <alignment horizontal="center" vertical="center" wrapText="1" shrinkToFit="1"/>
      <protection locked="0"/>
    </xf>
    <xf numFmtId="0" fontId="132" fillId="18" borderId="6" xfId="9" applyFont="1" applyFill="1" applyBorder="1" applyAlignment="1" applyProtection="1">
      <alignment horizontal="center" vertical="center" wrapText="1" shrinkToFit="1"/>
      <protection locked="0"/>
    </xf>
    <xf numFmtId="0" fontId="127" fillId="22" borderId="2" xfId="9" applyFont="1" applyFill="1" applyBorder="1" applyAlignment="1" applyProtection="1">
      <alignment horizontal="center"/>
      <protection locked="0"/>
    </xf>
    <xf numFmtId="0" fontId="6" fillId="0" borderId="0" xfId="9" applyFont="1" applyFill="1" applyBorder="1" applyAlignment="1" applyProtection="1">
      <alignment horizontal="center" vertical="center"/>
      <protection locked="0"/>
    </xf>
    <xf numFmtId="0" fontId="6" fillId="0" borderId="0" xfId="9" applyFont="1" applyBorder="1" applyAlignment="1" applyProtection="1">
      <alignment horizontal="center" vertical="center"/>
      <protection locked="0"/>
    </xf>
    <xf numFmtId="0" fontId="124" fillId="0" borderId="5" xfId="9" applyFont="1" applyBorder="1" applyAlignment="1" applyProtection="1">
      <alignment horizontal="center" vertical="center" wrapText="1"/>
    </xf>
    <xf numFmtId="0" fontId="124" fillId="0" borderId="6" xfId="9" applyFont="1" applyBorder="1" applyAlignment="1" applyProtection="1">
      <alignment horizontal="center" vertical="center" wrapText="1"/>
    </xf>
    <xf numFmtId="0" fontId="124" fillId="0" borderId="7" xfId="9" applyFont="1" applyBorder="1" applyAlignment="1" applyProtection="1">
      <alignment horizontal="center" vertical="center" wrapText="1"/>
    </xf>
    <xf numFmtId="0" fontId="142" fillId="6" borderId="0" xfId="9" applyFont="1" applyFill="1" applyBorder="1" applyAlignment="1" applyProtection="1">
      <alignment horizontal="left" vertical="top" wrapText="1"/>
      <protection locked="0"/>
    </xf>
    <xf numFmtId="0" fontId="125" fillId="6" borderId="5" xfId="9" applyFont="1" applyFill="1" applyBorder="1" applyAlignment="1" applyProtection="1">
      <alignment horizontal="center"/>
      <protection locked="0"/>
    </xf>
    <xf numFmtId="0" fontId="125" fillId="6" borderId="6" xfId="9" applyFont="1" applyFill="1" applyBorder="1" applyAlignment="1" applyProtection="1">
      <alignment horizontal="center"/>
      <protection locked="0"/>
    </xf>
    <xf numFmtId="0" fontId="125" fillId="6" borderId="7" xfId="9" applyFont="1" applyFill="1" applyBorder="1" applyAlignment="1" applyProtection="1">
      <alignment horizontal="center"/>
      <protection locked="0"/>
    </xf>
    <xf numFmtId="0" fontId="124" fillId="0" borderId="5" xfId="9" applyFont="1" applyBorder="1" applyAlignment="1" applyProtection="1">
      <alignment horizontal="center" vertical="top" wrapText="1"/>
    </xf>
    <xf numFmtId="0" fontId="124" fillId="0" borderId="6" xfId="9" applyFont="1" applyBorder="1" applyAlignment="1" applyProtection="1">
      <alignment horizontal="center" vertical="top" wrapText="1"/>
    </xf>
    <xf numFmtId="0" fontId="124" fillId="0" borderId="7" xfId="9" applyFont="1" applyBorder="1" applyAlignment="1" applyProtection="1">
      <alignment horizontal="center" vertical="top" wrapText="1"/>
    </xf>
    <xf numFmtId="0" fontId="124" fillId="0" borderId="5" xfId="9" applyFont="1" applyFill="1" applyBorder="1" applyAlignment="1" applyProtection="1">
      <alignment horizontal="center" vertical="top" wrapText="1"/>
    </xf>
    <xf numFmtId="0" fontId="124" fillId="0" borderId="6" xfId="9" applyFont="1" applyFill="1" applyBorder="1" applyAlignment="1" applyProtection="1">
      <alignment horizontal="center" vertical="top" wrapText="1"/>
    </xf>
    <xf numFmtId="0" fontId="124" fillId="0" borderId="7" xfId="9" applyFont="1" applyFill="1" applyBorder="1" applyAlignment="1" applyProtection="1">
      <alignment horizontal="center" vertical="top" wrapText="1"/>
    </xf>
    <xf numFmtId="0" fontId="132" fillId="18" borderId="3" xfId="9" applyFont="1" applyFill="1" applyBorder="1" applyAlignment="1" applyProtection="1">
      <alignment horizontal="center" vertical="center" wrapText="1" shrinkToFit="1"/>
    </xf>
    <xf numFmtId="0" fontId="132" fillId="18" borderId="4" xfId="9" applyFont="1" applyFill="1" applyBorder="1" applyAlignment="1" applyProtection="1">
      <alignment horizontal="center" vertical="center" wrapText="1" shrinkToFit="1"/>
    </xf>
    <xf numFmtId="0" fontId="132" fillId="18" borderId="31" xfId="9" applyFont="1" applyFill="1" applyBorder="1" applyAlignment="1" applyProtection="1">
      <alignment horizontal="center" vertical="center" wrapText="1" shrinkToFit="1"/>
    </xf>
    <xf numFmtId="0" fontId="132" fillId="18" borderId="9" xfId="9" applyFont="1" applyFill="1" applyBorder="1" applyAlignment="1" applyProtection="1">
      <alignment horizontal="center" vertical="center" wrapText="1" shrinkToFit="1"/>
    </xf>
    <xf numFmtId="0" fontId="132" fillId="18" borderId="1" xfId="9" applyFont="1" applyFill="1" applyBorder="1" applyAlignment="1" applyProtection="1">
      <alignment horizontal="center" vertical="center" wrapText="1" shrinkToFit="1"/>
    </xf>
    <xf numFmtId="0" fontId="132" fillId="18" borderId="10" xfId="9" applyFont="1" applyFill="1" applyBorder="1" applyAlignment="1" applyProtection="1">
      <alignment horizontal="center" vertical="center" wrapText="1" shrinkToFit="1"/>
    </xf>
    <xf numFmtId="0" fontId="127" fillId="22" borderId="1" xfId="9" applyFont="1" applyFill="1" applyBorder="1" applyAlignment="1" applyProtection="1">
      <alignment horizontal="center"/>
    </xf>
    <xf numFmtId="0" fontId="127" fillId="22" borderId="10" xfId="9" applyFont="1" applyFill="1" applyBorder="1" applyAlignment="1" applyProtection="1">
      <alignment horizontal="center"/>
    </xf>
    <xf numFmtId="0" fontId="127" fillId="22" borderId="6" xfId="9" applyFont="1" applyFill="1" applyBorder="1" applyAlignment="1" applyProtection="1">
      <alignment horizontal="center"/>
    </xf>
    <xf numFmtId="0" fontId="127" fillId="22" borderId="7" xfId="9" applyFont="1" applyFill="1" applyBorder="1" applyAlignment="1" applyProtection="1">
      <alignment horizontal="center"/>
    </xf>
    <xf numFmtId="0" fontId="126" fillId="6" borderId="1" xfId="9" applyFont="1" applyFill="1" applyBorder="1" applyAlignment="1" applyProtection="1">
      <alignment horizontal="left" vertical="top" wrapText="1"/>
      <protection locked="0"/>
    </xf>
    <xf numFmtId="0" fontId="126" fillId="6" borderId="0" xfId="9" applyFont="1" applyFill="1" applyBorder="1" applyAlignment="1" applyProtection="1">
      <alignment horizontal="left" vertical="top" wrapText="1"/>
      <protection locked="0"/>
    </xf>
    <xf numFmtId="0" fontId="126" fillId="6" borderId="4" xfId="9" applyFont="1" applyFill="1" applyBorder="1" applyAlignment="1" applyProtection="1">
      <alignment horizontal="left" vertical="top" wrapText="1"/>
      <protection locked="0"/>
    </xf>
    <xf numFmtId="0" fontId="126" fillId="0" borderId="2" xfId="9" applyFont="1" applyFill="1" applyBorder="1" applyAlignment="1" applyProtection="1">
      <alignment horizontal="center" vertical="center"/>
    </xf>
    <xf numFmtId="0" fontId="126" fillId="0" borderId="8" xfId="9" applyFont="1" applyFill="1" applyBorder="1" applyAlignment="1" applyProtection="1">
      <alignment horizontal="center" vertical="center"/>
    </xf>
    <xf numFmtId="0" fontId="124" fillId="7" borderId="32" xfId="9" applyFont="1" applyFill="1" applyBorder="1" applyAlignment="1" applyProtection="1">
      <alignment horizontal="center" vertical="center" wrapText="1"/>
      <protection locked="0"/>
    </xf>
    <xf numFmtId="0" fontId="124" fillId="7" borderId="33" xfId="9" applyFont="1" applyFill="1" applyBorder="1" applyAlignment="1" applyProtection="1">
      <alignment horizontal="center" vertical="center" wrapText="1"/>
      <protection locked="0"/>
    </xf>
    <xf numFmtId="0" fontId="124" fillId="0" borderId="5" xfId="9" applyFont="1" applyFill="1" applyBorder="1" applyAlignment="1" applyProtection="1">
      <alignment horizontal="left" vertical="top" wrapText="1"/>
    </xf>
    <xf numFmtId="0" fontId="124" fillId="0" borderId="7" xfId="9" applyFont="1" applyFill="1" applyBorder="1" applyAlignment="1" applyProtection="1">
      <alignment horizontal="left" vertical="top" wrapText="1"/>
    </xf>
    <xf numFmtId="0" fontId="124" fillId="0" borderId="6" xfId="9" applyFont="1" applyFill="1" applyBorder="1" applyAlignment="1" applyProtection="1">
      <alignment horizontal="left" vertical="top" wrapText="1"/>
    </xf>
    <xf numFmtId="0" fontId="143" fillId="18" borderId="3" xfId="9" applyFont="1" applyFill="1" applyBorder="1" applyAlignment="1" applyProtection="1">
      <alignment horizontal="center" vertical="center" wrapText="1" shrinkToFit="1"/>
    </xf>
    <xf numFmtId="0" fontId="143" fillId="18" borderId="4" xfId="9" applyFont="1" applyFill="1" applyBorder="1" applyAlignment="1" applyProtection="1">
      <alignment horizontal="center" vertical="center" wrapText="1" shrinkToFit="1"/>
    </xf>
    <xf numFmtId="0" fontId="143" fillId="18" borderId="31" xfId="9" applyFont="1" applyFill="1" applyBorder="1" applyAlignment="1" applyProtection="1">
      <alignment horizontal="center" vertical="center" wrapText="1" shrinkToFit="1"/>
    </xf>
    <xf numFmtId="0" fontId="143" fillId="18" borderId="9" xfId="9" applyFont="1" applyFill="1" applyBorder="1" applyAlignment="1" applyProtection="1">
      <alignment horizontal="center" vertical="center" wrapText="1" shrinkToFit="1"/>
    </xf>
    <xf numFmtId="0" fontId="143" fillId="18" borderId="1" xfId="9" applyFont="1" applyFill="1" applyBorder="1" applyAlignment="1" applyProtection="1">
      <alignment horizontal="center" vertical="center" wrapText="1" shrinkToFit="1"/>
    </xf>
    <xf numFmtId="0" fontId="143" fillId="18" borderId="10" xfId="9" applyFont="1" applyFill="1" applyBorder="1" applyAlignment="1" applyProtection="1">
      <alignment horizontal="center" vertical="center" wrapText="1" shrinkToFit="1"/>
    </xf>
    <xf numFmtId="0" fontId="132" fillId="18" borderId="11" xfId="9" applyFont="1" applyFill="1" applyBorder="1" applyAlignment="1" applyProtection="1">
      <alignment horizontal="center" vertical="center" shrinkToFit="1"/>
    </xf>
    <xf numFmtId="0" fontId="154" fillId="0" borderId="32" xfId="9" applyFont="1" applyFill="1" applyBorder="1" applyAlignment="1" applyProtection="1">
      <alignment horizontal="center" vertical="top" wrapText="1"/>
      <protection locked="0"/>
    </xf>
    <xf numFmtId="0" fontId="154" fillId="0" borderId="33" xfId="9" applyFont="1" applyFill="1" applyBorder="1" applyAlignment="1" applyProtection="1">
      <alignment horizontal="center" vertical="top" wrapText="1"/>
      <protection locked="0"/>
    </xf>
    <xf numFmtId="0" fontId="132" fillId="18" borderId="12" xfId="9" applyFont="1" applyFill="1" applyBorder="1" applyAlignment="1" applyProtection="1">
      <alignment horizontal="center" vertical="center" wrapText="1" shrinkToFit="1"/>
    </xf>
    <xf numFmtId="0" fontId="132" fillId="18" borderId="13" xfId="9" applyFont="1" applyFill="1" applyBorder="1" applyAlignment="1" applyProtection="1">
      <alignment horizontal="center" vertical="center" wrapText="1" shrinkToFit="1"/>
    </xf>
    <xf numFmtId="0" fontId="124" fillId="0" borderId="183" xfId="9" applyFont="1" applyFill="1" applyBorder="1" applyAlignment="1" applyProtection="1">
      <alignment horizontal="center" vertical="center" wrapText="1"/>
      <protection locked="0"/>
    </xf>
    <xf numFmtId="0" fontId="124" fillId="0" borderId="184" xfId="9" applyFont="1" applyFill="1" applyBorder="1" applyAlignment="1" applyProtection="1">
      <alignment horizontal="center" vertical="center" wrapText="1"/>
      <protection locked="0"/>
    </xf>
    <xf numFmtId="0" fontId="124" fillId="0" borderId="5" xfId="9" applyFont="1" applyBorder="1" applyAlignment="1" applyProtection="1">
      <alignment horizontal="left" vertical="center"/>
    </xf>
    <xf numFmtId="0" fontId="124" fillId="0" borderId="7" xfId="9" applyFont="1" applyBorder="1" applyAlignment="1" applyProtection="1">
      <alignment horizontal="left" vertical="center"/>
    </xf>
    <xf numFmtId="0" fontId="124" fillId="0" borderId="5" xfId="9" applyFont="1" applyBorder="1" applyAlignment="1" applyProtection="1">
      <alignment horizontal="left" vertical="center" wrapText="1"/>
    </xf>
    <xf numFmtId="0" fontId="124" fillId="0" borderId="6" xfId="9" applyFont="1" applyBorder="1" applyAlignment="1" applyProtection="1">
      <alignment horizontal="left" vertical="center" wrapText="1"/>
    </xf>
    <xf numFmtId="0" fontId="124" fillId="0" borderId="178" xfId="9" applyFont="1" applyBorder="1" applyAlignment="1" applyProtection="1">
      <alignment horizontal="left" vertical="center" wrapText="1"/>
    </xf>
    <xf numFmtId="0" fontId="127" fillId="22" borderId="12" xfId="9" applyFont="1" applyFill="1" applyBorder="1" applyAlignment="1" applyProtection="1">
      <alignment horizontal="center"/>
    </xf>
    <xf numFmtId="0" fontId="127" fillId="22" borderId="13" xfId="9" applyFont="1" applyFill="1" applyBorder="1" applyAlignment="1" applyProtection="1">
      <alignment horizontal="center"/>
    </xf>
    <xf numFmtId="0" fontId="124" fillId="0" borderId="32" xfId="9" applyFont="1" applyFill="1" applyBorder="1" applyAlignment="1" applyProtection="1">
      <alignment horizontal="center" vertical="center" wrapText="1"/>
      <protection locked="0"/>
    </xf>
    <xf numFmtId="0" fontId="124" fillId="0" borderId="33" xfId="9" applyFont="1" applyFill="1" applyBorder="1" applyAlignment="1" applyProtection="1">
      <alignment horizontal="center" vertical="center" wrapText="1"/>
      <protection locked="0"/>
    </xf>
    <xf numFmtId="0" fontId="124" fillId="0" borderId="3" xfId="9" applyFont="1" applyBorder="1" applyAlignment="1" applyProtection="1">
      <alignment horizontal="left" vertical="top" wrapText="1"/>
    </xf>
    <xf numFmtId="0" fontId="124" fillId="0" borderId="4" xfId="9" applyFont="1" applyBorder="1" applyAlignment="1" applyProtection="1">
      <alignment horizontal="left" vertical="top" wrapText="1"/>
    </xf>
    <xf numFmtId="0" fontId="124" fillId="0" borderId="31" xfId="9" applyFont="1" applyBorder="1" applyAlignment="1" applyProtection="1">
      <alignment horizontal="left" vertical="top" wrapText="1"/>
    </xf>
    <xf numFmtId="0" fontId="126" fillId="0" borderId="0" xfId="9" applyFont="1" applyAlignment="1" applyProtection="1">
      <alignment horizontal="left"/>
      <protection locked="0"/>
    </xf>
    <xf numFmtId="0" fontId="159" fillId="18" borderId="3" xfId="9" applyFont="1" applyFill="1" applyBorder="1" applyAlignment="1" applyProtection="1">
      <alignment horizontal="left" vertical="center" wrapText="1"/>
    </xf>
    <xf numFmtId="0" fontId="159" fillId="18" borderId="4" xfId="9" applyFont="1" applyFill="1" applyBorder="1" applyAlignment="1" applyProtection="1">
      <alignment horizontal="left" vertical="center" wrapText="1"/>
    </xf>
    <xf numFmtId="0" fontId="159" fillId="18" borderId="31" xfId="9" applyFont="1" applyFill="1" applyBorder="1" applyAlignment="1" applyProtection="1">
      <alignment horizontal="left" vertical="center" wrapText="1"/>
    </xf>
    <xf numFmtId="0" fontId="159" fillId="18" borderId="9" xfId="9" applyFont="1" applyFill="1" applyBorder="1" applyAlignment="1" applyProtection="1">
      <alignment horizontal="left" vertical="center" wrapText="1"/>
    </xf>
    <xf numFmtId="0" fontId="159" fillId="18" borderId="1" xfId="9" applyFont="1" applyFill="1" applyBorder="1" applyAlignment="1" applyProtection="1">
      <alignment horizontal="left" vertical="center" wrapText="1"/>
    </xf>
    <xf numFmtId="0" fontId="159" fillId="18" borderId="10" xfId="9" applyFont="1" applyFill="1" applyBorder="1" applyAlignment="1" applyProtection="1">
      <alignment horizontal="left" vertical="center" wrapText="1"/>
    </xf>
    <xf numFmtId="0" fontId="132" fillId="0" borderId="12" xfId="9" applyFont="1" applyBorder="1" applyAlignment="1" applyProtection="1">
      <alignment horizontal="center" vertical="top"/>
    </xf>
    <xf numFmtId="0" fontId="132" fillId="0" borderId="13" xfId="9" applyFont="1" applyBorder="1" applyAlignment="1" applyProtection="1">
      <alignment horizontal="center" vertical="top"/>
    </xf>
    <xf numFmtId="0" fontId="127" fillId="0" borderId="12" xfId="9" applyFont="1" applyBorder="1" applyAlignment="1" applyProtection="1">
      <alignment horizontal="center" vertical="top"/>
    </xf>
    <xf numFmtId="0" fontId="127" fillId="0" borderId="13" xfId="9" applyFont="1" applyBorder="1" applyAlignment="1" applyProtection="1">
      <alignment horizontal="center" vertical="top"/>
    </xf>
    <xf numFmtId="0" fontId="124" fillId="0" borderId="9" xfId="9" applyFont="1" applyBorder="1" applyAlignment="1" applyProtection="1">
      <alignment vertical="top" wrapText="1"/>
    </xf>
    <xf numFmtId="0" fontId="124" fillId="0" borderId="1" xfId="9" applyFont="1" applyBorder="1" applyAlignment="1" applyProtection="1">
      <alignment vertical="top" wrapText="1"/>
    </xf>
    <xf numFmtId="0" fontId="124" fillId="0" borderId="10" xfId="9" applyFont="1" applyBorder="1" applyAlignment="1" applyProtection="1">
      <alignment vertical="top" wrapText="1"/>
    </xf>
    <xf numFmtId="0" fontId="124" fillId="0" borderId="27" xfId="9" applyFont="1" applyBorder="1" applyAlignment="1" applyProtection="1">
      <alignment horizontal="left" vertical="center" wrapText="1"/>
    </xf>
    <xf numFmtId="0" fontId="124" fillId="0" borderId="29" xfId="9" applyFont="1" applyBorder="1" applyAlignment="1" applyProtection="1">
      <alignment horizontal="left" vertical="center" wrapText="1"/>
    </xf>
    <xf numFmtId="0" fontId="124" fillId="0" borderId="176" xfId="9" applyFont="1" applyFill="1" applyBorder="1" applyAlignment="1" applyProtection="1">
      <alignment horizontal="center" vertical="center" wrapText="1"/>
      <protection locked="0"/>
    </xf>
    <xf numFmtId="0" fontId="124" fillId="0" borderId="177" xfId="9" applyFont="1" applyFill="1" applyBorder="1" applyAlignment="1" applyProtection="1">
      <alignment horizontal="center" vertical="center" wrapText="1"/>
      <protection locked="0"/>
    </xf>
    <xf numFmtId="0" fontId="132" fillId="18" borderId="3" xfId="9" applyFont="1" applyFill="1" applyBorder="1" applyAlignment="1" applyProtection="1">
      <alignment horizontal="center" vertical="center" wrapText="1" shrinkToFit="1"/>
      <protection locked="0"/>
    </xf>
    <xf numFmtId="0" fontId="132" fillId="18" borderId="31" xfId="9" applyFont="1" applyFill="1" applyBorder="1" applyAlignment="1" applyProtection="1">
      <alignment horizontal="center" vertical="center" wrapText="1" shrinkToFit="1"/>
      <protection locked="0"/>
    </xf>
    <xf numFmtId="0" fontId="126" fillId="0" borderId="0" xfId="9" applyFont="1" applyAlignment="1" applyProtection="1">
      <alignment horizontal="center"/>
      <protection locked="0"/>
    </xf>
    <xf numFmtId="0" fontId="126" fillId="0" borderId="0" xfId="9" applyFont="1" applyBorder="1" applyAlignment="1" applyProtection="1">
      <alignment horizontal="left"/>
      <protection locked="0"/>
    </xf>
    <xf numFmtId="0" fontId="124" fillId="0" borderId="23" xfId="9" applyFont="1" applyBorder="1" applyAlignment="1" applyProtection="1">
      <alignment horizontal="left"/>
    </xf>
    <xf numFmtId="0" fontId="124" fillId="0" borderId="25" xfId="9" applyFont="1" applyBorder="1" applyAlignment="1" applyProtection="1">
      <alignment horizontal="left"/>
    </xf>
    <xf numFmtId="0" fontId="124" fillId="0" borderId="26" xfId="9" applyFont="1" applyBorder="1" applyAlignment="1" applyProtection="1">
      <alignment horizontal="left"/>
    </xf>
    <xf numFmtId="0" fontId="151" fillId="0" borderId="5" xfId="9" applyFont="1" applyBorder="1" applyAlignment="1" applyProtection="1">
      <alignment horizontal="center" vertical="top"/>
      <protection locked="0"/>
    </xf>
    <xf numFmtId="0" fontId="151" fillId="0" borderId="6" xfId="9" applyFont="1" applyBorder="1" applyAlignment="1" applyProtection="1">
      <alignment horizontal="center" vertical="top"/>
      <protection locked="0"/>
    </xf>
    <xf numFmtId="0" fontId="151" fillId="0" borderId="7" xfId="9" applyFont="1" applyBorder="1" applyAlignment="1" applyProtection="1">
      <alignment horizontal="center" vertical="top"/>
      <protection locked="0"/>
    </xf>
    <xf numFmtId="0" fontId="147" fillId="4" borderId="5" xfId="9" applyFont="1" applyFill="1" applyBorder="1" applyAlignment="1" applyProtection="1">
      <alignment horizontal="center"/>
      <protection locked="0"/>
    </xf>
    <xf numFmtId="0" fontId="147" fillId="4" borderId="7" xfId="9" applyFont="1" applyFill="1" applyBorder="1" applyAlignment="1" applyProtection="1">
      <alignment horizontal="center"/>
      <protection locked="0"/>
    </xf>
    <xf numFmtId="0" fontId="124" fillId="0" borderId="5" xfId="9" applyFont="1" applyBorder="1" applyAlignment="1" applyProtection="1">
      <alignment horizontal="center"/>
      <protection locked="0"/>
    </xf>
    <xf numFmtId="0" fontId="124" fillId="0" borderId="7" xfId="9" applyFont="1" applyBorder="1" applyAlignment="1" applyProtection="1">
      <alignment horizontal="center"/>
      <protection locked="0"/>
    </xf>
    <xf numFmtId="0" fontId="124" fillId="0" borderId="5" xfId="9" applyFont="1" applyBorder="1" applyAlignment="1" applyProtection="1">
      <alignment horizontal="center" vertical="top"/>
      <protection locked="0"/>
    </xf>
    <xf numFmtId="0" fontId="124" fillId="0" borderId="6" xfId="9" applyFont="1" applyBorder="1" applyAlignment="1" applyProtection="1">
      <alignment horizontal="center" vertical="top"/>
      <protection locked="0"/>
    </xf>
    <xf numFmtId="0" fontId="124" fillId="0" borderId="7" xfId="9" applyFont="1" applyBorder="1" applyAlignment="1" applyProtection="1">
      <alignment horizontal="center" vertical="top"/>
      <protection locked="0"/>
    </xf>
    <xf numFmtId="0" fontId="132" fillId="18" borderId="9" xfId="9" applyNumberFormat="1" applyFont="1" applyFill="1" applyBorder="1" applyAlignment="1" applyProtection="1">
      <alignment horizontal="center" vertical="center" wrapText="1" shrinkToFit="1"/>
    </xf>
    <xf numFmtId="0" fontId="132" fillId="18" borderId="1" xfId="9" applyNumberFormat="1" applyFont="1" applyFill="1" applyBorder="1" applyAlignment="1" applyProtection="1">
      <alignment horizontal="center" vertical="center" wrapText="1" shrinkToFit="1"/>
    </xf>
    <xf numFmtId="0" fontId="132" fillId="18" borderId="10" xfId="9" applyNumberFormat="1" applyFont="1" applyFill="1" applyBorder="1" applyAlignment="1" applyProtection="1">
      <alignment horizontal="center" vertical="center" wrapText="1" shrinkToFit="1"/>
    </xf>
    <xf numFmtId="0" fontId="135" fillId="6" borderId="0" xfId="9" applyFont="1" applyFill="1" applyBorder="1" applyAlignment="1" applyProtection="1">
      <alignment horizontal="left"/>
      <protection locked="0"/>
    </xf>
    <xf numFmtId="0" fontId="126" fillId="0" borderId="5" xfId="9" applyFont="1" applyBorder="1" applyAlignment="1" applyProtection="1">
      <alignment horizontal="left" vertical="center" wrapText="1"/>
    </xf>
    <xf numFmtId="0" fontId="126" fillId="0" borderId="6" xfId="9" applyFont="1" applyBorder="1" applyAlignment="1" applyProtection="1">
      <alignment horizontal="left" vertical="center" wrapText="1"/>
    </xf>
    <xf numFmtId="0" fontId="123" fillId="0" borderId="0" xfId="9" applyFont="1" applyAlignment="1" applyProtection="1">
      <alignment horizontal="center"/>
    </xf>
    <xf numFmtId="0" fontId="124" fillId="0" borderId="0" xfId="9" applyFont="1" applyAlignment="1" applyProtection="1">
      <alignment horizontal="left" vertical="top" wrapText="1"/>
    </xf>
    <xf numFmtId="0" fontId="124" fillId="0" borderId="0" xfId="9" applyFont="1" applyAlignment="1" applyProtection="1">
      <alignment horizontal="left" vertical="top"/>
    </xf>
    <xf numFmtId="0" fontId="132" fillId="18" borderId="3" xfId="9" applyFont="1" applyFill="1" applyBorder="1" applyAlignment="1" applyProtection="1">
      <alignment horizontal="center" vertical="center" shrinkToFit="1"/>
    </xf>
    <xf numFmtId="0" fontId="132" fillId="18" borderId="4" xfId="9" applyFont="1" applyFill="1" applyBorder="1" applyAlignment="1" applyProtection="1">
      <alignment horizontal="center" vertical="center" shrinkToFit="1"/>
    </xf>
    <xf numFmtId="0" fontId="132" fillId="18" borderId="31" xfId="9" applyFont="1" applyFill="1" applyBorder="1" applyAlignment="1" applyProtection="1">
      <alignment horizontal="center" vertical="center" shrinkToFit="1"/>
    </xf>
    <xf numFmtId="0" fontId="132" fillId="18" borderId="12" xfId="9" applyFont="1" applyFill="1" applyBorder="1" applyAlignment="1" applyProtection="1">
      <alignment horizontal="center" vertical="center" shrinkToFit="1"/>
    </xf>
    <xf numFmtId="0" fontId="132" fillId="18" borderId="0" xfId="9" applyFont="1" applyFill="1" applyBorder="1" applyAlignment="1" applyProtection="1">
      <alignment horizontal="center" vertical="center" shrinkToFit="1"/>
    </xf>
    <xf numFmtId="0" fontId="132" fillId="18" borderId="13" xfId="9" applyFont="1" applyFill="1" applyBorder="1" applyAlignment="1" applyProtection="1">
      <alignment horizontal="center" vertical="center" shrinkToFit="1"/>
    </xf>
    <xf numFmtId="0" fontId="148" fillId="18" borderId="3" xfId="9" applyFont="1" applyFill="1" applyBorder="1" applyAlignment="1" applyProtection="1">
      <alignment horizontal="center" vertical="center" wrapText="1" shrinkToFit="1"/>
    </xf>
    <xf numFmtId="0" fontId="148" fillId="18" borderId="31" xfId="9" applyFont="1" applyFill="1" applyBorder="1" applyAlignment="1" applyProtection="1">
      <alignment horizontal="center" vertical="center" wrapText="1" shrinkToFit="1"/>
    </xf>
    <xf numFmtId="0" fontId="148" fillId="18" borderId="36" xfId="9" applyFont="1" applyFill="1" applyBorder="1" applyAlignment="1" applyProtection="1">
      <alignment horizontal="center" vertical="center" wrapText="1" shrinkToFit="1"/>
    </xf>
    <xf numFmtId="0" fontId="148" fillId="18" borderId="37" xfId="9" applyFont="1" applyFill="1" applyBorder="1" applyAlignment="1" applyProtection="1">
      <alignment horizontal="center" vertical="center" wrapText="1" shrinkToFit="1"/>
    </xf>
    <xf numFmtId="0" fontId="148" fillId="18" borderId="13" xfId="9" applyFont="1" applyFill="1" applyBorder="1" applyAlignment="1" applyProtection="1">
      <alignment horizontal="center" vertical="center" wrapText="1" shrinkToFit="1"/>
    </xf>
    <xf numFmtId="0" fontId="126" fillId="11" borderId="165" xfId="9" applyFont="1" applyFill="1" applyBorder="1" applyAlignment="1" applyProtection="1">
      <alignment horizontal="center"/>
      <protection locked="0"/>
    </xf>
    <xf numFmtId="0" fontId="126" fillId="11" borderId="166" xfId="9" applyFont="1" applyFill="1" applyBorder="1" applyAlignment="1" applyProtection="1">
      <alignment horizontal="center"/>
      <protection locked="0"/>
    </xf>
    <xf numFmtId="0" fontId="126" fillId="11" borderId="167" xfId="9" applyFont="1" applyFill="1" applyBorder="1" applyAlignment="1" applyProtection="1">
      <alignment horizontal="center"/>
      <protection locked="0"/>
    </xf>
    <xf numFmtId="0" fontId="127" fillId="2" borderId="5" xfId="9" applyFont="1" applyFill="1" applyBorder="1" applyAlignment="1" applyProtection="1">
      <alignment horizontal="left" vertical="center"/>
    </xf>
    <xf numFmtId="0" fontId="127" fillId="2" borderId="6" xfId="9" applyFont="1" applyFill="1" applyBorder="1" applyAlignment="1" applyProtection="1">
      <alignment horizontal="left" vertical="center"/>
    </xf>
    <xf numFmtId="0" fontId="127" fillId="2" borderId="7" xfId="9" applyFont="1" applyFill="1" applyBorder="1" applyAlignment="1" applyProtection="1">
      <alignment horizontal="left" vertical="center"/>
    </xf>
    <xf numFmtId="0" fontId="132" fillId="18" borderId="2" xfId="9" applyFont="1" applyFill="1" applyBorder="1" applyAlignment="1" applyProtection="1">
      <alignment horizontal="center" vertical="center" wrapText="1" shrinkToFit="1"/>
    </xf>
    <xf numFmtId="0" fontId="126" fillId="21" borderId="40" xfId="9" applyFont="1" applyFill="1" applyBorder="1" applyAlignment="1" applyProtection="1">
      <alignment horizontal="center"/>
      <protection locked="0"/>
    </xf>
    <xf numFmtId="0" fontId="126" fillId="21" borderId="41" xfId="9" applyFont="1" applyFill="1" applyBorder="1" applyAlignment="1" applyProtection="1">
      <alignment horizontal="center"/>
      <protection locked="0"/>
    </xf>
    <xf numFmtId="0" fontId="126" fillId="21" borderId="42" xfId="9" applyFont="1" applyFill="1" applyBorder="1" applyAlignment="1" applyProtection="1">
      <alignment horizontal="center"/>
      <protection locked="0"/>
    </xf>
    <xf numFmtId="0" fontId="126" fillId="11" borderId="165" xfId="9" applyFont="1" applyFill="1" applyBorder="1" applyAlignment="1" applyProtection="1">
      <alignment horizontal="center" vertical="top"/>
      <protection locked="0"/>
    </xf>
    <xf numFmtId="0" fontId="126" fillId="11" borderId="166" xfId="9" applyFont="1" applyFill="1" applyBorder="1" applyAlignment="1" applyProtection="1">
      <alignment horizontal="center" vertical="top"/>
      <protection locked="0"/>
    </xf>
    <xf numFmtId="0" fontId="126" fillId="11" borderId="167" xfId="9" applyFont="1" applyFill="1" applyBorder="1" applyAlignment="1" applyProtection="1">
      <alignment horizontal="center" vertical="top"/>
      <protection locked="0"/>
    </xf>
    <xf numFmtId="0" fontId="124" fillId="11" borderId="165" xfId="9" applyFont="1" applyFill="1" applyBorder="1" applyAlignment="1" applyProtection="1">
      <alignment horizontal="center"/>
      <protection locked="0"/>
    </xf>
    <xf numFmtId="0" fontId="124" fillId="11" borderId="166" xfId="9" applyFont="1" applyFill="1" applyBorder="1" applyAlignment="1" applyProtection="1">
      <alignment horizontal="center"/>
      <protection locked="0"/>
    </xf>
    <xf numFmtId="0" fontId="124" fillId="11" borderId="167" xfId="9" applyFont="1" applyFill="1" applyBorder="1" applyAlignment="1" applyProtection="1">
      <alignment horizontal="center"/>
      <protection locked="0"/>
    </xf>
    <xf numFmtId="0" fontId="124" fillId="0" borderId="11" xfId="9" applyFont="1" applyBorder="1" applyAlignment="1" applyProtection="1">
      <alignment horizontal="left" vertical="top" wrapText="1"/>
    </xf>
    <xf numFmtId="0" fontId="124" fillId="0" borderId="7" xfId="9" applyFont="1" applyBorder="1" applyAlignment="1" applyProtection="1">
      <alignment horizontal="left" vertical="center" wrapText="1"/>
    </xf>
    <xf numFmtId="0" fontId="124" fillId="7" borderId="32" xfId="9" applyFont="1" applyFill="1" applyBorder="1" applyAlignment="1" applyProtection="1">
      <alignment horizontal="center" vertical="top" wrapText="1"/>
      <protection locked="0"/>
    </xf>
    <xf numFmtId="0" fontId="124" fillId="7" borderId="33" xfId="9" applyFont="1" applyFill="1" applyBorder="1" applyAlignment="1" applyProtection="1">
      <alignment horizontal="center" vertical="top" wrapText="1"/>
      <protection locked="0"/>
    </xf>
    <xf numFmtId="0" fontId="132" fillId="18" borderId="9" xfId="9" applyFont="1" applyFill="1" applyBorder="1" applyAlignment="1" applyProtection="1">
      <alignment horizontal="center" vertical="center" shrinkToFit="1"/>
    </xf>
    <xf numFmtId="0" fontId="132" fillId="18" borderId="1" xfId="9" applyFont="1" applyFill="1" applyBorder="1" applyAlignment="1" applyProtection="1">
      <alignment horizontal="center" vertical="center" shrinkToFit="1"/>
    </xf>
    <xf numFmtId="0" fontId="132" fillId="18" borderId="10" xfId="9" applyFont="1" applyFill="1" applyBorder="1" applyAlignment="1" applyProtection="1">
      <alignment horizontal="center" vertical="center" shrinkToFit="1"/>
    </xf>
    <xf numFmtId="0" fontId="126" fillId="0" borderId="7" xfId="9" applyFont="1" applyBorder="1" applyAlignment="1" applyProtection="1">
      <alignment horizontal="left" vertical="center" wrapText="1"/>
    </xf>
    <xf numFmtId="0" fontId="126" fillId="0" borderId="1" xfId="9" applyFont="1" applyBorder="1" applyAlignment="1" applyProtection="1">
      <alignment horizontal="left" vertical="center"/>
    </xf>
    <xf numFmtId="0" fontId="126" fillId="0" borderId="10" xfId="9" applyFont="1" applyBorder="1" applyAlignment="1" applyProtection="1">
      <alignment horizontal="left" vertical="center"/>
    </xf>
    <xf numFmtId="0" fontId="127" fillId="0" borderId="180" xfId="9" applyFont="1" applyBorder="1" applyAlignment="1" applyProtection="1">
      <alignment horizontal="center" vertical="top" wrapText="1"/>
    </xf>
    <xf numFmtId="0" fontId="127" fillId="0" borderId="181" xfId="9" applyFont="1" applyBorder="1" applyAlignment="1" applyProtection="1">
      <alignment horizontal="center" vertical="top" wrapText="1"/>
    </xf>
    <xf numFmtId="0" fontId="127" fillId="3" borderId="6" xfId="9" applyFont="1" applyFill="1" applyBorder="1" applyAlignment="1" applyProtection="1">
      <alignment horizontal="left" vertical="center"/>
    </xf>
    <xf numFmtId="0" fontId="127" fillId="3" borderId="7" xfId="9" applyFont="1" applyFill="1" applyBorder="1" applyAlignment="1" applyProtection="1">
      <alignment horizontal="left" vertical="center"/>
    </xf>
    <xf numFmtId="0" fontId="126" fillId="0" borderId="34" xfId="9" applyFont="1" applyFill="1" applyBorder="1" applyAlignment="1" applyProtection="1">
      <alignment horizontal="center" vertical="center" wrapText="1"/>
      <protection locked="0"/>
    </xf>
    <xf numFmtId="0" fontId="126" fillId="0" borderId="35" xfId="9" applyFont="1" applyFill="1" applyBorder="1" applyAlignment="1" applyProtection="1">
      <alignment horizontal="center" vertical="center" wrapText="1"/>
      <protection locked="0"/>
    </xf>
    <xf numFmtId="0" fontId="149" fillId="0" borderId="169" xfId="9" applyFont="1" applyBorder="1" applyAlignment="1" applyProtection="1">
      <alignment horizontal="left" vertical="center" wrapText="1" shrinkToFit="1"/>
    </xf>
    <xf numFmtId="0" fontId="149" fillId="0" borderId="4" xfId="9" applyFont="1" applyBorder="1" applyAlignment="1" applyProtection="1">
      <alignment horizontal="left" vertical="center" wrapText="1" shrinkToFit="1"/>
    </xf>
    <xf numFmtId="0" fontId="149" fillId="0" borderId="31" xfId="9" applyFont="1" applyBorder="1" applyAlignment="1" applyProtection="1">
      <alignment horizontal="left" vertical="center" wrapText="1" shrinkToFit="1"/>
    </xf>
    <xf numFmtId="0" fontId="126" fillId="0" borderId="32" xfId="9" applyFont="1" applyFill="1" applyBorder="1" applyAlignment="1" applyProtection="1">
      <alignment horizontal="center" vertical="center" wrapText="1"/>
      <protection locked="0"/>
    </xf>
    <xf numFmtId="0" fontId="126" fillId="0" borderId="33" xfId="9" applyFont="1" applyFill="1" applyBorder="1" applyAlignment="1" applyProtection="1">
      <alignment horizontal="center" vertical="center" wrapText="1"/>
      <protection locked="0"/>
    </xf>
    <xf numFmtId="0" fontId="126" fillId="6" borderId="13" xfId="9" applyFont="1" applyFill="1" applyBorder="1" applyAlignment="1" applyProtection="1">
      <alignment horizontal="left" vertical="top" wrapText="1"/>
      <protection locked="0"/>
    </xf>
    <xf numFmtId="0" fontId="6" fillId="0" borderId="5" xfId="9" applyFont="1" applyBorder="1" applyAlignment="1" applyProtection="1">
      <alignment horizontal="center"/>
      <protection locked="0"/>
    </xf>
    <xf numFmtId="0" fontId="6" fillId="0" borderId="7" xfId="9" applyFont="1" applyBorder="1" applyAlignment="1" applyProtection="1">
      <alignment horizontal="center"/>
      <protection locked="0"/>
    </xf>
    <xf numFmtId="0" fontId="19" fillId="0" borderId="11" xfId="0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27" fillId="18" borderId="1" xfId="9" applyFont="1" applyFill="1" applyBorder="1" applyAlignment="1" applyProtection="1">
      <alignment horizontal="right" vertical="center"/>
    </xf>
    <xf numFmtId="0" fontId="127" fillId="18" borderId="10" xfId="9" applyFont="1" applyFill="1" applyBorder="1" applyAlignment="1" applyProtection="1">
      <alignment horizontal="right" vertical="center"/>
    </xf>
    <xf numFmtId="0" fontId="127" fillId="2" borderId="9" xfId="9" applyFont="1" applyFill="1" applyBorder="1" applyAlignment="1" applyProtection="1">
      <alignment horizontal="left" vertical="center"/>
    </xf>
    <xf numFmtId="0" fontId="127" fillId="2" borderId="1" xfId="9" applyFont="1" applyFill="1" applyBorder="1" applyAlignment="1" applyProtection="1">
      <alignment horizontal="left" vertical="center"/>
    </xf>
    <xf numFmtId="0" fontId="127" fillId="2" borderId="10" xfId="9" applyFont="1" applyFill="1" applyBorder="1" applyAlignment="1" applyProtection="1">
      <alignment horizontal="left" vertical="center"/>
    </xf>
    <xf numFmtId="0" fontId="6" fillId="0" borderId="5" xfId="9" applyFont="1" applyFill="1" applyBorder="1" applyAlignment="1" applyProtection="1">
      <alignment horizontal="center" vertical="center"/>
      <protection locked="0"/>
    </xf>
    <xf numFmtId="0" fontId="6" fillId="0" borderId="7" xfId="9" applyFont="1" applyFill="1" applyBorder="1" applyAlignment="1" applyProtection="1">
      <alignment horizontal="center" vertical="center"/>
      <protection locked="0"/>
    </xf>
    <xf numFmtId="0" fontId="6" fillId="0" borderId="5" xfId="9" applyFont="1" applyBorder="1" applyAlignment="1" applyProtection="1">
      <alignment horizontal="center" vertical="center"/>
      <protection locked="0"/>
    </xf>
    <xf numFmtId="0" fontId="6" fillId="0" borderId="7" xfId="9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26" fillId="18" borderId="1" xfId="9" applyFont="1" applyFill="1" applyBorder="1" applyAlignment="1" applyProtection="1">
      <alignment horizontal="center" vertical="top" wrapText="1"/>
    </xf>
    <xf numFmtId="0" fontId="6" fillId="0" borderId="11" xfId="9" applyFont="1" applyFill="1" applyBorder="1" applyAlignment="1" applyProtection="1">
      <alignment horizontal="center"/>
      <protection locked="0"/>
    </xf>
    <xf numFmtId="0" fontId="143" fillId="18" borderId="12" xfId="9" applyFont="1" applyFill="1" applyBorder="1" applyAlignment="1" applyProtection="1">
      <alignment horizontal="center" vertical="center" wrapText="1" shrinkToFit="1"/>
    </xf>
    <xf numFmtId="0" fontId="143" fillId="18" borderId="0" xfId="9" applyFont="1" applyFill="1" applyBorder="1" applyAlignment="1" applyProtection="1">
      <alignment horizontal="center" vertical="center" wrapText="1" shrinkToFit="1"/>
    </xf>
    <xf numFmtId="0" fontId="143" fillId="18" borderId="13" xfId="9" applyFont="1" applyFill="1" applyBorder="1" applyAlignment="1" applyProtection="1">
      <alignment horizontal="center" vertical="center" wrapText="1" shrinkToFit="1"/>
    </xf>
    <xf numFmtId="0" fontId="124" fillId="0" borderId="10" xfId="9" applyFont="1" applyBorder="1" applyAlignment="1" applyProtection="1">
      <alignment horizontal="left" vertical="top" wrapText="1"/>
    </xf>
    <xf numFmtId="0" fontId="132" fillId="18" borderId="3" xfId="9" applyFont="1" applyFill="1" applyBorder="1" applyAlignment="1" applyProtection="1">
      <alignment horizontal="center" vertical="center" shrinkToFit="1"/>
      <protection locked="0"/>
    </xf>
    <xf numFmtId="0" fontId="132" fillId="18" borderId="4" xfId="9" applyFont="1" applyFill="1" applyBorder="1" applyAlignment="1" applyProtection="1">
      <alignment horizontal="center" vertical="center" shrinkToFit="1"/>
      <protection locked="0"/>
    </xf>
    <xf numFmtId="0" fontId="132" fillId="18" borderId="31" xfId="9" applyFont="1" applyFill="1" applyBorder="1" applyAlignment="1" applyProtection="1">
      <alignment horizontal="center" vertical="center" shrinkToFit="1"/>
      <protection locked="0"/>
    </xf>
    <xf numFmtId="0" fontId="143" fillId="18" borderId="3" xfId="9" applyFont="1" applyFill="1" applyBorder="1" applyAlignment="1" applyProtection="1">
      <alignment horizontal="center" vertical="center" wrapText="1" shrinkToFit="1"/>
      <protection locked="0"/>
    </xf>
    <xf numFmtId="0" fontId="143" fillId="18" borderId="4" xfId="9" applyFont="1" applyFill="1" applyBorder="1" applyAlignment="1" applyProtection="1">
      <alignment horizontal="center" vertical="center" wrapText="1" shrinkToFit="1"/>
      <protection locked="0"/>
    </xf>
    <xf numFmtId="0" fontId="143" fillId="18" borderId="31" xfId="9" applyFont="1" applyFill="1" applyBorder="1" applyAlignment="1" applyProtection="1">
      <alignment horizontal="center" vertical="center" wrapText="1" shrinkToFit="1"/>
      <protection locked="0"/>
    </xf>
    <xf numFmtId="0" fontId="126" fillId="6" borderId="0" xfId="9" applyFont="1" applyFill="1" applyBorder="1" applyAlignment="1" applyProtection="1">
      <alignment horizontal="left"/>
      <protection locked="0"/>
    </xf>
    <xf numFmtId="0" fontId="127" fillId="22" borderId="3" xfId="9" applyFont="1" applyFill="1" applyBorder="1" applyAlignment="1" applyProtection="1">
      <alignment horizontal="center"/>
    </xf>
    <xf numFmtId="0" fontId="127" fillId="22" borderId="31" xfId="9" applyFont="1" applyFill="1" applyBorder="1" applyAlignment="1" applyProtection="1">
      <alignment horizontal="center"/>
    </xf>
    <xf numFmtId="2" fontId="127" fillId="18" borderId="8" xfId="9" applyNumberFormat="1" applyFont="1" applyFill="1" applyBorder="1" applyAlignment="1" applyProtection="1">
      <alignment horizontal="center" vertical="top" wrapText="1"/>
    </xf>
    <xf numFmtId="2" fontId="150" fillId="18" borderId="11" xfId="9" applyNumberFormat="1" applyFont="1" applyFill="1" applyBorder="1" applyAlignment="1" applyProtection="1">
      <alignment horizontal="center" vertical="top" wrapText="1"/>
    </xf>
    <xf numFmtId="0" fontId="132" fillId="18" borderId="2" xfId="1" applyFont="1" applyFill="1" applyBorder="1" applyAlignment="1" applyProtection="1">
      <alignment horizontal="center" vertical="top" wrapText="1" shrinkToFit="1"/>
    </xf>
    <xf numFmtId="0" fontId="132" fillId="18" borderId="8" xfId="1" applyFont="1" applyFill="1" applyBorder="1" applyAlignment="1" applyProtection="1">
      <alignment horizontal="center" vertical="top" wrapText="1" shrinkToFit="1"/>
    </xf>
    <xf numFmtId="0" fontId="124" fillId="0" borderId="5" xfId="1" applyNumberFormat="1" applyFont="1" applyBorder="1" applyAlignment="1" applyProtection="1">
      <alignment horizontal="left" vertical="top" wrapText="1"/>
    </xf>
    <xf numFmtId="0" fontId="124" fillId="0" borderId="6" xfId="1" applyNumberFormat="1" applyFont="1" applyBorder="1" applyAlignment="1" applyProtection="1">
      <alignment horizontal="left" vertical="top" wrapText="1"/>
    </xf>
    <xf numFmtId="0" fontId="124" fillId="0" borderId="7" xfId="1" applyNumberFormat="1" applyFont="1" applyBorder="1" applyAlignment="1" applyProtection="1">
      <alignment horizontal="left" vertical="top" wrapText="1"/>
    </xf>
    <xf numFmtId="0" fontId="126" fillId="0" borderId="170" xfId="1" applyFont="1" applyFill="1" applyBorder="1" applyAlignment="1" applyProtection="1">
      <alignment horizontal="left" vertical="top" wrapText="1"/>
      <protection locked="0"/>
    </xf>
    <xf numFmtId="0" fontId="126" fillId="0" borderId="33" xfId="1" applyFont="1" applyFill="1" applyBorder="1" applyAlignment="1" applyProtection="1">
      <alignment horizontal="left" vertical="top" wrapText="1"/>
      <protection locked="0"/>
    </xf>
    <xf numFmtId="0" fontId="132" fillId="18" borderId="11" xfId="1" applyFont="1" applyFill="1" applyBorder="1" applyAlignment="1" applyProtection="1">
      <alignment horizontal="center" vertical="top" shrinkToFit="1"/>
    </xf>
    <xf numFmtId="0" fontId="143" fillId="18" borderId="4" xfId="1" applyFont="1" applyFill="1" applyBorder="1" applyAlignment="1" applyProtection="1">
      <alignment horizontal="center" vertical="top" wrapText="1" shrinkToFit="1"/>
    </xf>
    <xf numFmtId="0" fontId="143" fillId="18" borderId="31" xfId="1" applyFont="1" applyFill="1" applyBorder="1" applyAlignment="1" applyProtection="1">
      <alignment horizontal="center" vertical="top" wrapText="1" shrinkToFit="1"/>
    </xf>
    <xf numFmtId="0" fontId="143" fillId="18" borderId="1" xfId="1" applyFont="1" applyFill="1" applyBorder="1" applyAlignment="1" applyProtection="1">
      <alignment horizontal="center" vertical="top" wrapText="1" shrinkToFit="1"/>
    </xf>
    <xf numFmtId="0" fontId="143" fillId="18" borderId="10" xfId="1" applyFont="1" applyFill="1" applyBorder="1" applyAlignment="1" applyProtection="1">
      <alignment horizontal="center" vertical="top" wrapText="1" shrinkToFit="1"/>
    </xf>
    <xf numFmtId="0" fontId="132" fillId="18" borderId="3" xfId="1" applyFont="1" applyFill="1" applyBorder="1" applyAlignment="1" applyProtection="1">
      <alignment horizontal="center" vertical="top" shrinkToFit="1"/>
    </xf>
    <xf numFmtId="0" fontId="132" fillId="18" borderId="31" xfId="1" applyFont="1" applyFill="1" applyBorder="1" applyAlignment="1" applyProtection="1">
      <alignment horizontal="center" vertical="top" shrinkToFit="1"/>
    </xf>
    <xf numFmtId="0" fontId="132" fillId="18" borderId="9" xfId="1" applyFont="1" applyFill="1" applyBorder="1" applyAlignment="1" applyProtection="1">
      <alignment horizontal="center" vertical="top" shrinkToFit="1"/>
    </xf>
    <xf numFmtId="0" fontId="132" fillId="18" borderId="10" xfId="1" applyFont="1" applyFill="1" applyBorder="1" applyAlignment="1" applyProtection="1">
      <alignment horizontal="center" vertical="top" shrinkToFit="1"/>
    </xf>
    <xf numFmtId="0" fontId="126" fillId="0" borderId="11" xfId="1" applyFont="1" applyBorder="1" applyAlignment="1" applyProtection="1">
      <alignment horizontal="center" vertical="center"/>
    </xf>
    <xf numFmtId="0" fontId="126" fillId="0" borderId="23" xfId="1" applyFont="1" applyBorder="1" applyAlignment="1" applyProtection="1">
      <alignment horizontal="center" vertical="center"/>
    </xf>
    <xf numFmtId="0" fontId="126" fillId="0" borderId="25" xfId="1" applyFont="1" applyBorder="1" applyAlignment="1" applyProtection="1">
      <alignment horizontal="center" vertical="center"/>
    </xf>
    <xf numFmtId="0" fontId="126" fillId="0" borderId="27" xfId="1" applyFont="1" applyBorder="1" applyAlignment="1" applyProtection="1">
      <alignment horizontal="center" vertical="center"/>
    </xf>
    <xf numFmtId="0" fontId="126" fillId="0" borderId="29" xfId="1" applyFont="1" applyBorder="1" applyAlignment="1" applyProtection="1">
      <alignment horizontal="center" vertical="center"/>
    </xf>
    <xf numFmtId="2" fontId="126" fillId="22" borderId="6" xfId="1" applyNumberFormat="1" applyFont="1" applyFill="1" applyBorder="1" applyAlignment="1" applyProtection="1">
      <alignment horizontal="center"/>
    </xf>
    <xf numFmtId="0" fontId="126" fillId="22" borderId="6" xfId="1" applyFont="1" applyFill="1" applyBorder="1" applyAlignment="1" applyProtection="1">
      <alignment horizontal="center"/>
    </xf>
    <xf numFmtId="0" fontId="126" fillId="22" borderId="0" xfId="1" applyFont="1" applyFill="1" applyBorder="1" applyAlignment="1" applyProtection="1">
      <alignment horizontal="left"/>
    </xf>
    <xf numFmtId="0" fontId="126" fillId="22" borderId="4" xfId="1" applyFont="1" applyFill="1" applyBorder="1" applyAlignment="1" applyProtection="1">
      <alignment horizontal="left"/>
    </xf>
    <xf numFmtId="0" fontId="124" fillId="0" borderId="6" xfId="1" applyFont="1" applyBorder="1" applyAlignment="1" applyProtection="1">
      <alignment horizontal="left" vertical="center" wrapText="1"/>
    </xf>
    <xf numFmtId="0" fontId="124" fillId="0" borderId="7" xfId="1" applyFont="1" applyBorder="1" applyAlignment="1" applyProtection="1">
      <alignment horizontal="left" vertical="center" wrapText="1"/>
    </xf>
    <xf numFmtId="0" fontId="126" fillId="0" borderId="5" xfId="1" applyFont="1" applyBorder="1" applyAlignment="1" applyProtection="1">
      <alignment horizontal="center" vertical="center"/>
    </xf>
    <xf numFmtId="0" fontId="126" fillId="0" borderId="6" xfId="1" applyFont="1" applyBorder="1" applyAlignment="1" applyProtection="1">
      <alignment horizontal="center" vertical="center"/>
    </xf>
    <xf numFmtId="0" fontId="126" fillId="0" borderId="32" xfId="1" applyFont="1" applyFill="1" applyBorder="1" applyAlignment="1" applyProtection="1">
      <alignment horizontal="left" vertical="center" wrapText="1"/>
      <protection locked="0"/>
    </xf>
    <xf numFmtId="0" fontId="126" fillId="0" borderId="33" xfId="1" applyFont="1" applyFill="1" applyBorder="1" applyAlignment="1" applyProtection="1">
      <alignment horizontal="left" vertical="center" wrapText="1"/>
      <protection locked="0"/>
    </xf>
    <xf numFmtId="0" fontId="124" fillId="0" borderId="6" xfId="1" applyFont="1" applyBorder="1" applyAlignment="1" applyProtection="1">
      <alignment horizontal="left" vertical="top" wrapText="1"/>
    </xf>
    <xf numFmtId="0" fontId="124" fillId="0" borderId="7" xfId="1" applyFont="1" applyBorder="1" applyAlignment="1" applyProtection="1">
      <alignment horizontal="left" vertical="top" wrapText="1"/>
    </xf>
    <xf numFmtId="2" fontId="126" fillId="0" borderId="5" xfId="1" applyNumberFormat="1" applyFont="1" applyBorder="1" applyAlignment="1" applyProtection="1">
      <alignment horizontal="center" vertical="center"/>
    </xf>
    <xf numFmtId="0" fontId="126" fillId="13" borderId="40" xfId="1" applyFont="1" applyFill="1" applyBorder="1" applyAlignment="1" applyProtection="1">
      <alignment horizontal="center"/>
      <protection locked="0"/>
    </xf>
    <xf numFmtId="0" fontId="126" fillId="13" borderId="41" xfId="1" applyFont="1" applyFill="1" applyBorder="1" applyAlignment="1" applyProtection="1">
      <alignment horizontal="center"/>
      <protection locked="0"/>
    </xf>
    <xf numFmtId="0" fontId="126" fillId="13" borderId="42" xfId="1" applyFont="1" applyFill="1" applyBorder="1" applyAlignment="1" applyProtection="1">
      <alignment horizontal="center"/>
      <protection locked="0"/>
    </xf>
    <xf numFmtId="0" fontId="127" fillId="23" borderId="9" xfId="1" applyFont="1" applyFill="1" applyBorder="1" applyAlignment="1" applyProtection="1">
      <alignment horizontal="center" vertical="top" wrapText="1"/>
      <protection locked="0"/>
    </xf>
    <xf numFmtId="0" fontId="127" fillId="23" borderId="1" xfId="1" applyFont="1" applyFill="1" applyBorder="1" applyAlignment="1" applyProtection="1">
      <alignment horizontal="center" vertical="top" wrapText="1"/>
      <protection locked="0"/>
    </xf>
    <xf numFmtId="0" fontId="127" fillId="23" borderId="10" xfId="1" applyFont="1" applyFill="1" applyBorder="1" applyAlignment="1" applyProtection="1">
      <alignment horizontal="center" vertical="top" wrapText="1"/>
      <protection locked="0"/>
    </xf>
    <xf numFmtId="1" fontId="126" fillId="4" borderId="11" xfId="1" applyNumberFormat="1" applyFont="1" applyFill="1" applyBorder="1" applyAlignment="1" applyProtection="1">
      <alignment horizontal="left" vertical="top" wrapText="1"/>
      <protection locked="0"/>
    </xf>
    <xf numFmtId="0" fontId="126" fillId="4" borderId="11" xfId="1" applyFont="1" applyFill="1" applyBorder="1" applyAlignment="1" applyProtection="1">
      <alignment horizontal="left" vertical="top" wrapText="1"/>
      <protection locked="0"/>
    </xf>
    <xf numFmtId="0" fontId="127" fillId="23" borderId="5" xfId="1" applyFont="1" applyFill="1" applyBorder="1" applyAlignment="1" applyProtection="1">
      <alignment horizontal="center" vertical="top" wrapText="1"/>
    </xf>
    <xf numFmtId="0" fontId="127" fillId="23" borderId="6" xfId="1" applyFont="1" applyFill="1" applyBorder="1" applyAlignment="1" applyProtection="1">
      <alignment horizontal="center" vertical="top" wrapText="1"/>
    </xf>
    <xf numFmtId="0" fontId="127" fillId="23" borderId="7" xfId="1" applyFont="1" applyFill="1" applyBorder="1" applyAlignment="1" applyProtection="1">
      <alignment horizontal="center" vertical="top" wrapText="1"/>
    </xf>
    <xf numFmtId="0" fontId="132" fillId="18" borderId="11" xfId="1" applyFont="1" applyFill="1" applyBorder="1" applyAlignment="1" applyProtection="1">
      <alignment horizontal="center" vertical="top" shrinkToFit="1"/>
      <protection locked="0"/>
    </xf>
    <xf numFmtId="0" fontId="132" fillId="18" borderId="2" xfId="1" applyFont="1" applyFill="1" applyBorder="1" applyAlignment="1" applyProtection="1">
      <alignment horizontal="center" vertical="top" wrapText="1" shrinkToFit="1"/>
      <protection locked="0"/>
    </xf>
    <xf numFmtId="0" fontId="132" fillId="18" borderId="8" xfId="1" applyFont="1" applyFill="1" applyBorder="1" applyAlignment="1" applyProtection="1">
      <alignment horizontal="center" vertical="top" wrapText="1" shrinkToFit="1"/>
      <protection locked="0"/>
    </xf>
    <xf numFmtId="0" fontId="143" fillId="18" borderId="3" xfId="1" applyFont="1" applyFill="1" applyBorder="1" applyAlignment="1" applyProtection="1">
      <alignment horizontal="center" vertical="top" wrapText="1" shrinkToFit="1"/>
      <protection locked="0"/>
    </xf>
    <xf numFmtId="0" fontId="143" fillId="18" borderId="4" xfId="1" applyFont="1" applyFill="1" applyBorder="1" applyAlignment="1" applyProtection="1">
      <alignment horizontal="center" vertical="top" wrapText="1" shrinkToFit="1"/>
      <protection locked="0"/>
    </xf>
    <xf numFmtId="0" fontId="143" fillId="18" borderId="31" xfId="1" applyFont="1" applyFill="1" applyBorder="1" applyAlignment="1" applyProtection="1">
      <alignment horizontal="center" vertical="top" wrapText="1" shrinkToFit="1"/>
      <protection locked="0"/>
    </xf>
    <xf numFmtId="0" fontId="143" fillId="18" borderId="9" xfId="1" applyFont="1" applyFill="1" applyBorder="1" applyAlignment="1" applyProtection="1">
      <alignment horizontal="center" vertical="top" wrapText="1" shrinkToFit="1"/>
      <protection locked="0"/>
    </xf>
    <xf numFmtId="0" fontId="143" fillId="18" borderId="1" xfId="1" applyFont="1" applyFill="1" applyBorder="1" applyAlignment="1" applyProtection="1">
      <alignment horizontal="center" vertical="top" wrapText="1" shrinkToFit="1"/>
      <protection locked="0"/>
    </xf>
    <xf numFmtId="0" fontId="143" fillId="18" borderId="10" xfId="1" applyFont="1" applyFill="1" applyBorder="1" applyAlignment="1" applyProtection="1">
      <alignment horizontal="center" vertical="top" wrapText="1" shrinkToFit="1"/>
      <protection locked="0"/>
    </xf>
    <xf numFmtId="0" fontId="132" fillId="18" borderId="3" xfId="1" applyFont="1" applyFill="1" applyBorder="1" applyAlignment="1" applyProtection="1">
      <alignment horizontal="center" vertical="top" shrinkToFit="1"/>
      <protection locked="0"/>
    </xf>
    <xf numFmtId="0" fontId="132" fillId="18" borderId="31" xfId="1" applyFont="1" applyFill="1" applyBorder="1" applyAlignment="1" applyProtection="1">
      <alignment horizontal="center" vertical="top" shrinkToFit="1"/>
      <protection locked="0"/>
    </xf>
    <xf numFmtId="0" fontId="132" fillId="18" borderId="9" xfId="1" applyFont="1" applyFill="1" applyBorder="1" applyAlignment="1" applyProtection="1">
      <alignment horizontal="center" vertical="top" shrinkToFit="1"/>
      <protection locked="0"/>
    </xf>
    <xf numFmtId="0" fontId="132" fillId="18" borderId="10" xfId="1" applyFont="1" applyFill="1" applyBorder="1" applyAlignment="1" applyProtection="1">
      <alignment horizontal="center" vertical="top" shrinkToFit="1"/>
      <protection locked="0"/>
    </xf>
    <xf numFmtId="0" fontId="126" fillId="0" borderId="2" xfId="9" applyNumberFormat="1" applyFont="1" applyFill="1" applyBorder="1" applyAlignment="1" applyProtection="1">
      <alignment horizontal="left" vertical="top" wrapText="1"/>
      <protection locked="0"/>
    </xf>
    <xf numFmtId="49" fontId="126" fillId="0" borderId="5" xfId="9" applyNumberFormat="1" applyFont="1" applyFill="1" applyBorder="1" applyAlignment="1" applyProtection="1">
      <alignment horizontal="center" vertical="top" wrapText="1"/>
      <protection locked="0"/>
    </xf>
    <xf numFmtId="49" fontId="126" fillId="0" borderId="6" xfId="9" applyNumberFormat="1" applyFont="1" applyFill="1" applyBorder="1" applyAlignment="1" applyProtection="1">
      <alignment horizontal="center" vertical="top" wrapText="1"/>
      <protection locked="0"/>
    </xf>
    <xf numFmtId="49" fontId="126" fillId="0" borderId="7" xfId="9" applyNumberFormat="1" applyFont="1" applyFill="1" applyBorder="1" applyAlignment="1" applyProtection="1">
      <alignment horizontal="center" vertical="top" wrapText="1"/>
      <protection locked="0"/>
    </xf>
    <xf numFmtId="1" fontId="126" fillId="0" borderId="5" xfId="1" applyNumberFormat="1" applyFont="1" applyFill="1" applyBorder="1" applyAlignment="1" applyProtection="1">
      <alignment horizontal="center" vertical="top" wrapText="1"/>
      <protection locked="0"/>
    </xf>
    <xf numFmtId="1" fontId="126" fillId="0" borderId="6" xfId="1" applyNumberFormat="1" applyFont="1" applyFill="1" applyBorder="1" applyAlignment="1" applyProtection="1">
      <alignment horizontal="center" vertical="top" wrapText="1"/>
      <protection locked="0"/>
    </xf>
    <xf numFmtId="1" fontId="126" fillId="0" borderId="7" xfId="1" applyNumberFormat="1" applyFont="1" applyFill="1" applyBorder="1" applyAlignment="1" applyProtection="1">
      <alignment horizontal="center" vertical="top" wrapText="1"/>
      <protection locked="0"/>
    </xf>
    <xf numFmtId="0" fontId="126" fillId="0" borderId="5" xfId="1" applyFont="1" applyFill="1" applyBorder="1" applyAlignment="1" applyProtection="1">
      <alignment horizontal="center" vertical="top" wrapText="1"/>
      <protection locked="0"/>
    </xf>
    <xf numFmtId="0" fontId="126" fillId="0" borderId="7" xfId="1" applyFont="1" applyFill="1" applyBorder="1" applyAlignment="1" applyProtection="1">
      <alignment horizontal="center" vertical="top" wrapText="1"/>
      <protection locked="0"/>
    </xf>
    <xf numFmtId="0" fontId="9" fillId="0" borderId="0" xfId="1" applyFont="1" applyBorder="1" applyAlignment="1" applyProtection="1">
      <alignment horizontal="center" vertical="top" wrapText="1"/>
    </xf>
    <xf numFmtId="2" fontId="162" fillId="0" borderId="15" xfId="1" applyNumberFormat="1" applyFont="1" applyBorder="1" applyAlignment="1" applyProtection="1">
      <alignment horizontal="center" vertical="top" wrapText="1"/>
    </xf>
    <xf numFmtId="2" fontId="162" fillId="0" borderId="16" xfId="1" applyNumberFormat="1" applyFont="1" applyBorder="1" applyAlignment="1" applyProtection="1">
      <alignment horizontal="center" vertical="top" wrapText="1"/>
    </xf>
    <xf numFmtId="2" fontId="162" fillId="0" borderId="17" xfId="1" applyNumberFormat="1" applyFont="1" applyBorder="1" applyAlignment="1" applyProtection="1">
      <alignment horizontal="center" vertical="top" wrapText="1"/>
    </xf>
    <xf numFmtId="0" fontId="21" fillId="0" borderId="0" xfId="1" applyFont="1" applyBorder="1" applyAlignment="1" applyProtection="1">
      <alignment horizontal="center" vertical="top" wrapText="1"/>
    </xf>
    <xf numFmtId="2" fontId="162" fillId="0" borderId="9" xfId="1" applyNumberFormat="1" applyFont="1" applyBorder="1" applyAlignment="1" applyProtection="1">
      <alignment horizontal="center" vertical="top" wrapText="1"/>
    </xf>
    <xf numFmtId="2" fontId="162" fillId="0" borderId="1" xfId="1" applyNumberFormat="1" applyFont="1" applyBorder="1" applyAlignment="1" applyProtection="1">
      <alignment horizontal="center" vertical="top" wrapText="1"/>
    </xf>
    <xf numFmtId="2" fontId="162" fillId="0" borderId="10" xfId="1" applyNumberFormat="1" applyFont="1" applyBorder="1" applyAlignment="1" applyProtection="1">
      <alignment horizontal="center" vertical="top" wrapText="1"/>
    </xf>
    <xf numFmtId="2" fontId="162" fillId="0" borderId="5" xfId="1" applyNumberFormat="1" applyFont="1" applyBorder="1" applyAlignment="1" applyProtection="1">
      <alignment horizontal="center" vertical="top" wrapText="1"/>
    </xf>
    <xf numFmtId="2" fontId="162" fillId="0" borderId="6" xfId="1" applyNumberFormat="1" applyFont="1" applyBorder="1" applyAlignment="1" applyProtection="1">
      <alignment horizontal="center" vertical="top" wrapText="1"/>
    </xf>
    <xf numFmtId="2" fontId="162" fillId="0" borderId="7" xfId="1" applyNumberFormat="1" applyFont="1" applyBorder="1" applyAlignment="1" applyProtection="1">
      <alignment horizontal="center" vertical="top" wrapText="1"/>
    </xf>
    <xf numFmtId="1" fontId="22" fillId="0" borderId="0" xfId="1" applyNumberFormat="1" applyFont="1" applyBorder="1" applyAlignment="1" applyProtection="1">
      <alignment horizontal="center"/>
    </xf>
    <xf numFmtId="49" fontId="126" fillId="0" borderId="8" xfId="9" applyNumberFormat="1" applyFont="1" applyFill="1" applyBorder="1" applyAlignment="1" applyProtection="1">
      <alignment horizontal="left" vertical="top" wrapText="1"/>
      <protection locked="0"/>
    </xf>
    <xf numFmtId="0" fontId="126" fillId="0" borderId="8" xfId="9" applyNumberFormat="1" applyFont="1" applyFill="1" applyBorder="1" applyAlignment="1" applyProtection="1">
      <alignment horizontal="left" vertical="top" wrapText="1"/>
      <protection locked="0"/>
    </xf>
    <xf numFmtId="2" fontId="127" fillId="0" borderId="2" xfId="1" applyNumberFormat="1" applyFont="1" applyBorder="1" applyAlignment="1" applyProtection="1">
      <alignment horizontal="center" vertical="center"/>
      <protection locked="0"/>
    </xf>
    <xf numFmtId="2" fontId="127" fillId="0" borderId="8" xfId="1" applyNumberFormat="1" applyFont="1" applyBorder="1" applyAlignment="1" applyProtection="1">
      <alignment horizontal="center" vertical="center"/>
      <protection locked="0"/>
    </xf>
    <xf numFmtId="0" fontId="126" fillId="0" borderId="2" xfId="1" applyFont="1" applyFill="1" applyBorder="1" applyAlignment="1" applyProtection="1">
      <alignment horizontal="center" vertical="top"/>
      <protection locked="0"/>
    </xf>
    <xf numFmtId="0" fontId="126" fillId="0" borderId="8" xfId="1" applyFont="1" applyFill="1" applyBorder="1" applyAlignment="1" applyProtection="1">
      <alignment horizontal="center" vertical="top"/>
      <protection locked="0"/>
    </xf>
    <xf numFmtId="0" fontId="126" fillId="0" borderId="2" xfId="1" applyFont="1" applyBorder="1" applyAlignment="1" applyProtection="1">
      <alignment horizontal="center" vertical="center"/>
      <protection locked="0"/>
    </xf>
    <xf numFmtId="0" fontId="126" fillId="0" borderId="8" xfId="1" applyFont="1" applyBorder="1" applyAlignment="1" applyProtection="1">
      <alignment horizontal="center" vertical="center"/>
      <protection locked="0"/>
    </xf>
    <xf numFmtId="0" fontId="126" fillId="0" borderId="3" xfId="1" applyFont="1" applyFill="1" applyBorder="1" applyAlignment="1" applyProtection="1">
      <alignment horizontal="center" vertical="top" wrapText="1"/>
      <protection locked="0"/>
    </xf>
    <xf numFmtId="0" fontId="126" fillId="0" borderId="31" xfId="1" applyFont="1" applyFill="1" applyBorder="1" applyAlignment="1" applyProtection="1">
      <alignment horizontal="center" vertical="top" wrapText="1"/>
      <protection locked="0"/>
    </xf>
    <xf numFmtId="0" fontId="126" fillId="0" borderId="9" xfId="1" applyFont="1" applyFill="1" applyBorder="1" applyAlignment="1" applyProtection="1">
      <alignment horizontal="center" vertical="top" wrapText="1"/>
      <protection locked="0"/>
    </xf>
    <xf numFmtId="0" fontId="126" fillId="0" borderId="10" xfId="1" applyFont="1" applyFill="1" applyBorder="1" applyAlignment="1" applyProtection="1">
      <alignment horizontal="center" vertical="top" wrapText="1"/>
      <protection locked="0"/>
    </xf>
    <xf numFmtId="2" fontId="126" fillId="0" borderId="3" xfId="1" applyNumberFormat="1" applyFont="1" applyBorder="1" applyAlignment="1" applyProtection="1">
      <alignment horizontal="center" vertical="top"/>
      <protection locked="0"/>
    </xf>
    <xf numFmtId="2" fontId="126" fillId="0" borderId="4" xfId="1" applyNumberFormat="1" applyFont="1" applyBorder="1" applyAlignment="1" applyProtection="1">
      <alignment horizontal="center" vertical="top"/>
      <protection locked="0"/>
    </xf>
    <xf numFmtId="2" fontId="126" fillId="0" borderId="31" xfId="1" applyNumberFormat="1" applyFont="1" applyBorder="1" applyAlignment="1" applyProtection="1">
      <alignment horizontal="center" vertical="top"/>
      <protection locked="0"/>
    </xf>
    <xf numFmtId="2" fontId="126" fillId="0" borderId="9" xfId="1" applyNumberFormat="1" applyFont="1" applyBorder="1" applyAlignment="1" applyProtection="1">
      <alignment horizontal="center" vertical="top"/>
      <protection locked="0"/>
    </xf>
    <xf numFmtId="2" fontId="126" fillId="0" borderId="1" xfId="1" applyNumberFormat="1" applyFont="1" applyBorder="1" applyAlignment="1" applyProtection="1">
      <alignment horizontal="center" vertical="top"/>
      <protection locked="0"/>
    </xf>
    <xf numFmtId="2" fontId="126" fillId="0" borderId="10" xfId="1" applyNumberFormat="1" applyFont="1" applyBorder="1" applyAlignment="1" applyProtection="1">
      <alignment horizontal="center" vertical="top"/>
      <protection locked="0"/>
    </xf>
    <xf numFmtId="0" fontId="126" fillId="0" borderId="2" xfId="1" applyFont="1" applyBorder="1" applyAlignment="1" applyProtection="1">
      <alignment horizontal="center" vertical="top"/>
      <protection locked="0"/>
    </xf>
    <xf numFmtId="0" fontId="126" fillId="0" borderId="8" xfId="1" applyFont="1" applyBorder="1" applyAlignment="1" applyProtection="1">
      <alignment horizontal="center" vertical="top"/>
      <protection locked="0"/>
    </xf>
    <xf numFmtId="0" fontId="159" fillId="0" borderId="27" xfId="9" applyFont="1" applyBorder="1" applyAlignment="1" applyProtection="1">
      <alignment horizontal="left" vertical="top"/>
      <protection locked="0"/>
    </xf>
    <xf numFmtId="0" fontId="159" fillId="0" borderId="29" xfId="9" applyFont="1" applyBorder="1" applyAlignment="1" applyProtection="1">
      <alignment horizontal="left" vertical="top"/>
      <protection locked="0"/>
    </xf>
    <xf numFmtId="0" fontId="159" fillId="0" borderId="30" xfId="9" applyFont="1" applyBorder="1" applyAlignment="1" applyProtection="1">
      <alignment horizontal="left" vertical="top"/>
      <protection locked="0"/>
    </xf>
    <xf numFmtId="0" fontId="143" fillId="0" borderId="27" xfId="1" applyFont="1" applyFill="1" applyBorder="1" applyAlignment="1" applyProtection="1">
      <alignment horizontal="center" vertical="top" wrapText="1" shrinkToFit="1"/>
      <protection locked="0"/>
    </xf>
    <xf numFmtId="0" fontId="143" fillId="0" borderId="29" xfId="1" applyFont="1" applyFill="1" applyBorder="1" applyAlignment="1" applyProtection="1">
      <alignment horizontal="center" vertical="top" wrapText="1" shrinkToFit="1"/>
      <protection locked="0"/>
    </xf>
    <xf numFmtId="0" fontId="143" fillId="0" borderId="30" xfId="1" applyFont="1" applyFill="1" applyBorder="1" applyAlignment="1" applyProtection="1">
      <alignment horizontal="center" vertical="top" wrapText="1" shrinkToFit="1"/>
      <protection locked="0"/>
    </xf>
    <xf numFmtId="0" fontId="153" fillId="0" borderId="27" xfId="9" applyFont="1" applyBorder="1" applyAlignment="1" applyProtection="1">
      <alignment horizontal="left" vertical="top"/>
      <protection locked="0"/>
    </xf>
    <xf numFmtId="0" fontId="153" fillId="0" borderId="29" xfId="9" applyFont="1" applyBorder="1" applyAlignment="1" applyProtection="1">
      <alignment horizontal="left" vertical="top"/>
      <protection locked="0"/>
    </xf>
    <xf numFmtId="0" fontId="153" fillId="0" borderId="30" xfId="9" applyFont="1" applyBorder="1" applyAlignment="1" applyProtection="1">
      <alignment horizontal="left" vertical="top"/>
      <protection locked="0"/>
    </xf>
    <xf numFmtId="0" fontId="143" fillId="0" borderId="27" xfId="1" applyFont="1" applyFill="1" applyBorder="1" applyAlignment="1" applyProtection="1">
      <alignment horizontal="left" vertical="top" wrapText="1" shrinkToFit="1"/>
      <protection locked="0"/>
    </xf>
    <xf numFmtId="0" fontId="143" fillId="0" borderId="29" xfId="1" applyFont="1" applyFill="1" applyBorder="1" applyAlignment="1" applyProtection="1">
      <alignment horizontal="left" vertical="top" wrapText="1" shrinkToFit="1"/>
      <protection locked="0"/>
    </xf>
    <xf numFmtId="0" fontId="143" fillId="0" borderId="30" xfId="1" applyFont="1" applyFill="1" applyBorder="1" applyAlignment="1" applyProtection="1">
      <alignment horizontal="left" vertical="top" wrapText="1" shrinkToFit="1"/>
      <protection locked="0"/>
    </xf>
    <xf numFmtId="0" fontId="126" fillId="0" borderId="5" xfId="1" applyFont="1" applyBorder="1" applyAlignment="1" applyProtection="1">
      <alignment horizontal="left"/>
    </xf>
    <xf numFmtId="0" fontId="126" fillId="0" borderId="6" xfId="1" applyFont="1" applyBorder="1" applyAlignment="1" applyProtection="1">
      <alignment horizontal="left"/>
    </xf>
    <xf numFmtId="0" fontId="126" fillId="0" borderId="7" xfId="1" applyFont="1" applyBorder="1" applyAlignment="1" applyProtection="1">
      <alignment horizontal="left"/>
    </xf>
    <xf numFmtId="0" fontId="127" fillId="0" borderId="5" xfId="1" applyFont="1" applyBorder="1" applyAlignment="1" applyProtection="1">
      <alignment horizontal="center" vertical="top" wrapText="1"/>
    </xf>
    <xf numFmtId="0" fontId="127" fillId="0" borderId="7" xfId="1" applyFont="1" applyBorder="1" applyAlignment="1" applyProtection="1">
      <alignment horizontal="center" vertical="top" wrapText="1"/>
    </xf>
    <xf numFmtId="0" fontId="127" fillId="0" borderId="5" xfId="1" applyFont="1" applyBorder="1" applyAlignment="1" applyProtection="1">
      <alignment horizontal="center"/>
    </xf>
    <xf numFmtId="0" fontId="127" fillId="0" borderId="6" xfId="1" applyFont="1" applyBorder="1" applyAlignment="1" applyProtection="1">
      <alignment horizontal="center"/>
    </xf>
    <xf numFmtId="0" fontId="127" fillId="0" borderId="7" xfId="1" applyFont="1" applyBorder="1" applyAlignment="1" applyProtection="1">
      <alignment horizontal="center"/>
    </xf>
    <xf numFmtId="0" fontId="127" fillId="0" borderId="11" xfId="1" applyFont="1" applyBorder="1" applyAlignment="1" applyProtection="1">
      <alignment horizontal="center" vertical="center"/>
    </xf>
    <xf numFmtId="0" fontId="127" fillId="0" borderId="6" xfId="1" applyFont="1" applyBorder="1" applyAlignment="1" applyProtection="1">
      <alignment horizontal="center" vertical="top" wrapText="1"/>
    </xf>
    <xf numFmtId="0" fontId="127" fillId="0" borderId="5" xfId="1" applyFont="1" applyBorder="1" applyAlignment="1" applyProtection="1">
      <alignment horizontal="center" vertical="top"/>
    </xf>
    <xf numFmtId="0" fontId="127" fillId="0" borderId="7" xfId="1" applyFont="1" applyBorder="1" applyAlignment="1" applyProtection="1">
      <alignment horizontal="center" vertical="top"/>
    </xf>
    <xf numFmtId="0" fontId="126" fillId="0" borderId="0" xfId="1" applyFont="1" applyBorder="1" applyAlignment="1" applyProtection="1">
      <alignment horizontal="left"/>
      <protection locked="0"/>
    </xf>
    <xf numFmtId="0" fontId="124" fillId="0" borderId="0" xfId="1" applyFont="1" applyBorder="1" applyAlignment="1" applyProtection="1">
      <alignment horizontal="left"/>
      <protection locked="0"/>
    </xf>
    <xf numFmtId="0" fontId="127" fillId="0" borderId="0" xfId="1" applyFont="1" applyBorder="1" applyAlignment="1" applyProtection="1">
      <alignment horizontal="center" vertical="top" wrapText="1"/>
    </xf>
    <xf numFmtId="2" fontId="161" fillId="0" borderId="15" xfId="1" applyNumberFormat="1" applyFont="1" applyBorder="1" applyAlignment="1" applyProtection="1">
      <alignment horizontal="center" vertical="top" wrapText="1"/>
    </xf>
    <xf numFmtId="2" fontId="161" fillId="0" borderId="16" xfId="1" applyNumberFormat="1" applyFont="1" applyBorder="1" applyAlignment="1" applyProtection="1">
      <alignment horizontal="center" vertical="top" wrapText="1"/>
    </xf>
    <xf numFmtId="2" fontId="161" fillId="0" borderId="17" xfId="1" applyNumberFormat="1" applyFont="1" applyBorder="1" applyAlignment="1" applyProtection="1">
      <alignment horizontal="center" vertical="top" wrapText="1"/>
    </xf>
    <xf numFmtId="0" fontId="161" fillId="0" borderId="0" xfId="1" applyFont="1" applyBorder="1" applyAlignment="1" applyProtection="1">
      <alignment horizontal="center" vertical="top" wrapText="1"/>
    </xf>
    <xf numFmtId="2" fontId="161" fillId="0" borderId="23" xfId="1" applyNumberFormat="1" applyFont="1" applyBorder="1" applyAlignment="1" applyProtection="1">
      <alignment horizontal="center" vertical="top" wrapText="1"/>
    </xf>
    <xf numFmtId="2" fontId="161" fillId="0" borderId="25" xfId="1" applyNumberFormat="1" applyFont="1" applyBorder="1" applyAlignment="1" applyProtection="1">
      <alignment horizontal="center" vertical="top" wrapText="1"/>
    </xf>
    <xf numFmtId="2" fontId="161" fillId="0" borderId="26" xfId="1" applyNumberFormat="1" applyFont="1" applyBorder="1" applyAlignment="1" applyProtection="1">
      <alignment horizontal="center" vertical="top" wrapText="1"/>
    </xf>
    <xf numFmtId="2" fontId="162" fillId="0" borderId="27" xfId="1" applyNumberFormat="1" applyFont="1" applyBorder="1" applyAlignment="1" applyProtection="1">
      <alignment horizontal="center" vertical="top" wrapText="1"/>
    </xf>
    <xf numFmtId="2" fontId="162" fillId="0" borderId="29" xfId="1" applyNumberFormat="1" applyFont="1" applyBorder="1" applyAlignment="1" applyProtection="1">
      <alignment horizontal="center" vertical="top" wrapText="1"/>
    </xf>
    <xf numFmtId="2" fontId="162" fillId="0" borderId="30" xfId="1" applyNumberFormat="1" applyFont="1" applyBorder="1" applyAlignment="1" applyProtection="1">
      <alignment horizontal="center" vertical="top" wrapText="1"/>
    </xf>
    <xf numFmtId="1" fontId="162" fillId="0" borderId="0" xfId="1" applyNumberFormat="1" applyFont="1" applyBorder="1" applyAlignment="1" applyProtection="1">
      <alignment horizontal="center"/>
    </xf>
    <xf numFmtId="0" fontId="127" fillId="0" borderId="3" xfId="1" applyFont="1" applyBorder="1" applyAlignment="1" applyProtection="1">
      <alignment horizontal="left"/>
      <protection locked="0"/>
    </xf>
    <xf numFmtId="0" fontId="127" fillId="0" borderId="4" xfId="1" applyFont="1" applyBorder="1" applyAlignment="1" applyProtection="1">
      <alignment horizontal="left"/>
      <protection locked="0"/>
    </xf>
    <xf numFmtId="0" fontId="124" fillId="0" borderId="0" xfId="1" applyFont="1" applyBorder="1" applyAlignment="1" applyProtection="1">
      <alignment horizontal="center"/>
      <protection locked="0"/>
    </xf>
    <xf numFmtId="49" fontId="147" fillId="23" borderId="11" xfId="1" applyNumberFormat="1" applyFont="1" applyFill="1" applyBorder="1" applyAlignment="1" applyProtection="1">
      <alignment horizontal="center" vertical="center"/>
    </xf>
    <xf numFmtId="2" fontId="127" fillId="23" borderId="5" xfId="1" applyNumberFormat="1" applyFont="1" applyFill="1" applyBorder="1" applyAlignment="1" applyProtection="1">
      <alignment horizontal="center"/>
    </xf>
    <xf numFmtId="2" fontId="127" fillId="23" borderId="6" xfId="1" applyNumberFormat="1" applyFont="1" applyFill="1" applyBorder="1" applyAlignment="1" applyProtection="1">
      <alignment horizontal="center"/>
    </xf>
    <xf numFmtId="2" fontId="127" fillId="23" borderId="7" xfId="1" applyNumberFormat="1" applyFont="1" applyFill="1" applyBorder="1" applyAlignment="1" applyProtection="1">
      <alignment horizontal="center"/>
    </xf>
    <xf numFmtId="0" fontId="127" fillId="0" borderId="5" xfId="1" applyFont="1" applyBorder="1" applyAlignment="1" applyProtection="1">
      <alignment horizontal="center" vertical="center"/>
    </xf>
    <xf numFmtId="0" fontId="127" fillId="0" borderId="6" xfId="1" applyFont="1" applyBorder="1" applyAlignment="1" applyProtection="1">
      <alignment horizontal="center" vertical="center"/>
    </xf>
    <xf numFmtId="0" fontId="127" fillId="0" borderId="7" xfId="1" applyFont="1" applyBorder="1" applyAlignment="1" applyProtection="1">
      <alignment horizontal="center" vertical="center"/>
    </xf>
    <xf numFmtId="0" fontId="132" fillId="0" borderId="11" xfId="1" applyFont="1" applyBorder="1" applyAlignment="1" applyProtection="1">
      <alignment horizontal="center" vertical="top" wrapText="1"/>
    </xf>
    <xf numFmtId="49" fontId="147" fillId="23" borderId="5" xfId="1" applyNumberFormat="1" applyFont="1" applyFill="1" applyBorder="1" applyAlignment="1" applyProtection="1">
      <alignment horizontal="center" vertical="center"/>
      <protection locked="0"/>
    </xf>
    <xf numFmtId="49" fontId="147" fillId="23" borderId="6" xfId="1" applyNumberFormat="1" applyFont="1" applyFill="1" applyBorder="1" applyAlignment="1" applyProtection="1">
      <alignment horizontal="center" vertical="center"/>
      <protection locked="0"/>
    </xf>
    <xf numFmtId="49" fontId="147" fillId="23" borderId="7" xfId="1" applyNumberFormat="1" applyFont="1" applyFill="1" applyBorder="1" applyAlignment="1" applyProtection="1">
      <alignment horizontal="center" vertical="center"/>
      <protection locked="0"/>
    </xf>
    <xf numFmtId="49" fontId="127" fillId="24" borderId="5" xfId="1" applyNumberFormat="1" applyFont="1" applyFill="1" applyBorder="1" applyAlignment="1" applyProtection="1">
      <alignment horizontal="center" vertical="center"/>
      <protection locked="0"/>
    </xf>
    <xf numFmtId="49" fontId="127" fillId="24" borderId="6" xfId="1" applyNumberFormat="1" applyFont="1" applyFill="1" applyBorder="1" applyAlignment="1" applyProtection="1">
      <alignment horizontal="center" vertical="center"/>
      <protection locked="0"/>
    </xf>
    <xf numFmtId="49" fontId="127" fillId="24" borderId="7" xfId="1" applyNumberFormat="1" applyFont="1" applyFill="1" applyBorder="1" applyAlignment="1" applyProtection="1">
      <alignment horizontal="center" vertical="center"/>
      <protection locked="0"/>
    </xf>
    <xf numFmtId="0" fontId="124" fillId="0" borderId="12" xfId="1" applyFont="1" applyBorder="1" applyAlignment="1" applyProtection="1">
      <alignment horizontal="left" vertical="top" wrapText="1"/>
    </xf>
    <xf numFmtId="0" fontId="124" fillId="0" borderId="0" xfId="1" applyFont="1" applyBorder="1" applyAlignment="1" applyProtection="1">
      <alignment horizontal="left" vertical="top" wrapText="1"/>
    </xf>
    <xf numFmtId="0" fontId="124" fillId="0" borderId="13" xfId="1" applyFont="1" applyBorder="1" applyAlignment="1" applyProtection="1">
      <alignment horizontal="left" vertical="top" wrapText="1"/>
    </xf>
    <xf numFmtId="0" fontId="124" fillId="0" borderId="12" xfId="1" applyFont="1" applyBorder="1" applyAlignment="1" applyProtection="1">
      <alignment horizontal="center" vertical="top" wrapText="1"/>
    </xf>
    <xf numFmtId="0" fontId="124" fillId="0" borderId="13" xfId="1" applyFont="1" applyBorder="1" applyAlignment="1" applyProtection="1">
      <alignment horizontal="center" vertical="top" wrapText="1"/>
    </xf>
    <xf numFmtId="0" fontId="161" fillId="0" borderId="12" xfId="1" applyFont="1" applyBorder="1" applyAlignment="1" applyProtection="1">
      <alignment horizontal="center" vertical="top" wrapText="1"/>
    </xf>
    <xf numFmtId="0" fontId="161" fillId="0" borderId="13" xfId="1" applyFont="1" applyBorder="1" applyAlignment="1" applyProtection="1">
      <alignment horizontal="center" vertical="top" wrapText="1"/>
    </xf>
    <xf numFmtId="0" fontId="124" fillId="0" borderId="9" xfId="1" applyFont="1" applyBorder="1" applyAlignment="1" applyProtection="1">
      <alignment horizontal="left" vertical="top" wrapText="1"/>
    </xf>
    <xf numFmtId="0" fontId="124" fillId="0" borderId="1" xfId="1" applyFont="1" applyBorder="1" applyAlignment="1" applyProtection="1">
      <alignment horizontal="left" vertical="top" wrapText="1"/>
    </xf>
    <xf numFmtId="0" fontId="124" fillId="0" borderId="10" xfId="1" applyFont="1" applyBorder="1" applyAlignment="1" applyProtection="1">
      <alignment horizontal="left" vertical="top" wrapText="1"/>
    </xf>
    <xf numFmtId="0" fontId="124" fillId="0" borderId="9" xfId="1" applyFont="1" applyBorder="1" applyAlignment="1" applyProtection="1">
      <alignment horizontal="center" vertical="top" wrapText="1"/>
    </xf>
    <xf numFmtId="0" fontId="124" fillId="0" borderId="10" xfId="1" applyFont="1" applyBorder="1" applyAlignment="1" applyProtection="1">
      <alignment horizontal="center" vertical="top" wrapText="1"/>
    </xf>
    <xf numFmtId="0" fontId="126" fillId="0" borderId="9" xfId="1" applyFont="1" applyBorder="1" applyAlignment="1" applyProtection="1">
      <alignment horizontal="center"/>
    </xf>
    <xf numFmtId="0" fontId="126" fillId="0" borderId="10" xfId="1" applyFont="1" applyBorder="1" applyAlignment="1" applyProtection="1">
      <alignment horizontal="center"/>
    </xf>
    <xf numFmtId="0" fontId="161" fillId="0" borderId="9" xfId="1" applyFont="1" applyBorder="1" applyAlignment="1" applyProtection="1">
      <alignment horizontal="center" vertical="top" wrapText="1"/>
    </xf>
    <xf numFmtId="0" fontId="161" fillId="0" borderId="1" xfId="1" applyFont="1" applyBorder="1" applyAlignment="1" applyProtection="1">
      <alignment horizontal="center" vertical="top" wrapText="1"/>
    </xf>
    <xf numFmtId="0" fontId="161" fillId="0" borderId="10" xfId="1" applyFont="1" applyBorder="1" applyAlignment="1" applyProtection="1">
      <alignment horizontal="center" vertical="top" wrapText="1"/>
    </xf>
    <xf numFmtId="0" fontId="127" fillId="0" borderId="11" xfId="1" applyFont="1" applyBorder="1" applyAlignment="1" applyProtection="1">
      <alignment horizontal="center" vertical="top" wrapText="1"/>
    </xf>
    <xf numFmtId="0" fontId="161" fillId="0" borderId="3" xfId="1" applyFont="1" applyBorder="1" applyAlignment="1" applyProtection="1">
      <alignment horizontal="center" vertical="top" wrapText="1"/>
    </xf>
    <xf numFmtId="0" fontId="161" fillId="0" borderId="4" xfId="1" applyFont="1" applyBorder="1" applyAlignment="1" applyProtection="1">
      <alignment horizontal="center" vertical="top" wrapText="1"/>
    </xf>
    <xf numFmtId="0" fontId="161" fillId="0" borderId="31" xfId="1" applyFont="1" applyBorder="1" applyAlignment="1" applyProtection="1">
      <alignment horizontal="center" vertical="top" wrapText="1"/>
    </xf>
    <xf numFmtId="0" fontId="126" fillId="0" borderId="27" xfId="1" applyFont="1" applyBorder="1" applyAlignment="1" applyProtection="1"/>
    <xf numFmtId="0" fontId="126" fillId="0" borderId="29" xfId="1" applyFont="1" applyBorder="1" applyAlignment="1" applyProtection="1"/>
    <xf numFmtId="0" fontId="126" fillId="0" borderId="30" xfId="1" applyFont="1" applyBorder="1" applyAlignment="1" applyProtection="1"/>
    <xf numFmtId="0" fontId="126" fillId="0" borderId="28" xfId="1" applyFont="1" applyBorder="1" applyAlignment="1" applyProtection="1">
      <alignment horizontal="center"/>
    </xf>
    <xf numFmtId="0" fontId="126" fillId="0" borderId="27" xfId="1" applyFont="1" applyBorder="1" applyAlignment="1" applyProtection="1">
      <alignment horizontal="center"/>
    </xf>
    <xf numFmtId="0" fontId="126" fillId="0" borderId="176" xfId="1" applyFont="1" applyFill="1" applyBorder="1" applyAlignment="1" applyProtection="1">
      <alignment horizontal="center"/>
      <protection locked="0"/>
    </xf>
    <xf numFmtId="0" fontId="126" fillId="0" borderId="177" xfId="1" applyFont="1" applyFill="1" applyBorder="1" applyAlignment="1" applyProtection="1">
      <alignment horizontal="center"/>
      <protection locked="0"/>
    </xf>
    <xf numFmtId="49" fontId="126" fillId="0" borderId="176" xfId="1" applyNumberFormat="1" applyFont="1" applyFill="1" applyBorder="1" applyAlignment="1" applyProtection="1">
      <alignment horizontal="center"/>
      <protection locked="0"/>
    </xf>
    <xf numFmtId="49" fontId="126" fillId="0" borderId="177" xfId="1" applyNumberFormat="1" applyFont="1" applyFill="1" applyBorder="1" applyAlignment="1" applyProtection="1">
      <alignment horizontal="center"/>
      <protection locked="0"/>
    </xf>
    <xf numFmtId="0" fontId="124" fillId="0" borderId="3" xfId="1" applyFont="1" applyBorder="1" applyAlignment="1" applyProtection="1">
      <alignment horizontal="left" vertical="top" wrapText="1"/>
    </xf>
    <xf numFmtId="0" fontId="124" fillId="0" borderId="4" xfId="1" applyFont="1" applyBorder="1" applyAlignment="1" applyProtection="1">
      <alignment horizontal="left" vertical="top" wrapText="1"/>
    </xf>
    <xf numFmtId="0" fontId="124" fillId="0" borderId="31" xfId="1" applyFont="1" applyBorder="1" applyAlignment="1" applyProtection="1">
      <alignment horizontal="left" vertical="top" wrapText="1"/>
    </xf>
    <xf numFmtId="0" fontId="124" fillId="0" borderId="3" xfId="1" applyFont="1" applyBorder="1" applyAlignment="1" applyProtection="1">
      <alignment horizontal="center" vertical="top" wrapText="1"/>
    </xf>
    <xf numFmtId="0" fontId="124" fillId="0" borderId="31" xfId="1" applyFont="1" applyBorder="1" applyAlignment="1" applyProtection="1">
      <alignment horizontal="center" vertical="top" wrapText="1"/>
    </xf>
    <xf numFmtId="49" fontId="126" fillId="0" borderId="174" xfId="1" applyNumberFormat="1" applyFont="1" applyFill="1" applyBorder="1" applyAlignment="1" applyProtection="1">
      <alignment horizontal="center"/>
      <protection locked="0"/>
    </xf>
    <xf numFmtId="49" fontId="126" fillId="0" borderId="175" xfId="1" applyNumberFormat="1" applyFont="1" applyFill="1" applyBorder="1" applyAlignment="1" applyProtection="1">
      <alignment horizontal="center"/>
      <protection locked="0"/>
    </xf>
    <xf numFmtId="0" fontId="126" fillId="0" borderId="23" xfId="1" applyFont="1" applyBorder="1" applyAlignment="1" applyProtection="1"/>
    <xf numFmtId="0" fontId="126" fillId="0" borderId="25" xfId="1" applyFont="1" applyBorder="1" applyAlignment="1" applyProtection="1"/>
    <xf numFmtId="0" fontId="126" fillId="0" borderId="26" xfId="1" applyFont="1" applyBorder="1" applyAlignment="1" applyProtection="1"/>
    <xf numFmtId="0" fontId="126" fillId="0" borderId="24" xfId="1" applyFont="1" applyBorder="1" applyAlignment="1" applyProtection="1">
      <alignment horizontal="center"/>
    </xf>
    <xf numFmtId="0" fontId="126" fillId="0" borderId="23" xfId="1" applyFont="1" applyBorder="1" applyAlignment="1" applyProtection="1">
      <alignment horizontal="center"/>
    </xf>
    <xf numFmtId="0" fontId="126" fillId="0" borderId="174" xfId="1" applyFont="1" applyFill="1" applyBorder="1" applyAlignment="1" applyProtection="1">
      <alignment horizontal="center"/>
      <protection locked="0"/>
    </xf>
    <xf numFmtId="0" fontId="126" fillId="0" borderId="175" xfId="1" applyFont="1" applyFill="1" applyBorder="1" applyAlignment="1" applyProtection="1">
      <alignment horizontal="center"/>
      <protection locked="0"/>
    </xf>
    <xf numFmtId="0" fontId="126" fillId="0" borderId="15" xfId="1" applyFont="1" applyBorder="1" applyAlignment="1" applyProtection="1">
      <alignment horizontal="center"/>
    </xf>
    <xf numFmtId="0" fontId="126" fillId="0" borderId="16" xfId="1" applyFont="1" applyBorder="1" applyAlignment="1" applyProtection="1">
      <alignment horizontal="center"/>
    </xf>
    <xf numFmtId="49" fontId="126" fillId="0" borderId="188" xfId="1" applyNumberFormat="1" applyFont="1" applyFill="1" applyBorder="1" applyAlignment="1" applyProtection="1">
      <alignment horizontal="center"/>
      <protection locked="0"/>
    </xf>
    <xf numFmtId="49" fontId="126" fillId="0" borderId="189" xfId="1" applyNumberFormat="1" applyFont="1" applyFill="1" applyBorder="1" applyAlignment="1" applyProtection="1">
      <alignment horizontal="center"/>
      <protection locked="0"/>
    </xf>
    <xf numFmtId="0" fontId="126" fillId="0" borderId="25" xfId="1" applyFont="1" applyBorder="1" applyAlignment="1" applyProtection="1">
      <alignment horizontal="center"/>
    </xf>
    <xf numFmtId="0" fontId="126" fillId="0" borderId="19" xfId="1" applyFont="1" applyFill="1" applyBorder="1" applyAlignment="1" applyProtection="1">
      <alignment horizontal="left"/>
    </xf>
    <xf numFmtId="0" fontId="126" fillId="0" borderId="20" xfId="1" applyFont="1" applyFill="1" applyBorder="1" applyAlignment="1" applyProtection="1">
      <alignment horizontal="left"/>
    </xf>
    <xf numFmtId="0" fontId="126" fillId="0" borderId="21" xfId="1" applyFont="1" applyFill="1" applyBorder="1" applyAlignment="1" applyProtection="1">
      <alignment horizontal="left"/>
    </xf>
    <xf numFmtId="0" fontId="126" fillId="0" borderId="19" xfId="1" applyFont="1" applyBorder="1" applyAlignment="1" applyProtection="1">
      <alignment horizontal="center" vertical="center"/>
    </xf>
    <xf numFmtId="0" fontId="126" fillId="0" borderId="20" xfId="1" applyFont="1" applyBorder="1" applyAlignment="1" applyProtection="1">
      <alignment horizontal="center" vertical="center"/>
    </xf>
    <xf numFmtId="0" fontId="126" fillId="0" borderId="190" xfId="1" applyFont="1" applyFill="1" applyBorder="1" applyAlignment="1" applyProtection="1">
      <alignment horizontal="center"/>
      <protection locked="0"/>
    </xf>
    <xf numFmtId="0" fontId="126" fillId="0" borderId="191" xfId="1" applyFont="1" applyFill="1" applyBorder="1" applyAlignment="1" applyProtection="1">
      <alignment horizontal="center"/>
      <protection locked="0"/>
    </xf>
    <xf numFmtId="0" fontId="126" fillId="0" borderId="27" xfId="1" applyFont="1" applyFill="1" applyBorder="1" applyAlignment="1" applyProtection="1">
      <alignment horizontal="left"/>
    </xf>
    <xf numFmtId="0" fontId="126" fillId="0" borderId="29" xfId="1" applyFont="1" applyFill="1" applyBorder="1" applyAlignment="1" applyProtection="1">
      <alignment horizontal="left"/>
    </xf>
    <xf numFmtId="0" fontId="126" fillId="0" borderId="30" xfId="1" applyFont="1" applyFill="1" applyBorder="1" applyAlignment="1" applyProtection="1">
      <alignment horizontal="left"/>
    </xf>
    <xf numFmtId="0" fontId="126" fillId="0" borderId="192" xfId="1" applyFont="1" applyFill="1" applyBorder="1" applyAlignment="1" applyProtection="1">
      <alignment horizontal="center"/>
      <protection locked="0"/>
    </xf>
    <xf numFmtId="0" fontId="126" fillId="0" borderId="193" xfId="1" applyFont="1" applyFill="1" applyBorder="1" applyAlignment="1" applyProtection="1">
      <alignment horizontal="center"/>
      <protection locked="0"/>
    </xf>
    <xf numFmtId="0" fontId="125" fillId="0" borderId="3" xfId="1" applyFont="1" applyFill="1" applyBorder="1" applyAlignment="1" applyProtection="1">
      <alignment horizontal="left"/>
    </xf>
    <xf numFmtId="0" fontId="125" fillId="0" borderId="4" xfId="1" applyFont="1" applyFill="1" applyBorder="1" applyAlignment="1" applyProtection="1">
      <alignment horizontal="left"/>
    </xf>
    <xf numFmtId="0" fontId="125" fillId="0" borderId="31" xfId="1" applyFont="1" applyFill="1" applyBorder="1" applyAlignment="1" applyProtection="1">
      <alignment horizontal="left"/>
    </xf>
    <xf numFmtId="0" fontId="125" fillId="0" borderId="2" xfId="1" applyFont="1" applyBorder="1" applyAlignment="1" applyProtection="1">
      <alignment horizontal="left"/>
    </xf>
    <xf numFmtId="0" fontId="126" fillId="0" borderId="172" xfId="1" applyFont="1" applyFill="1" applyBorder="1" applyAlignment="1" applyProtection="1">
      <alignment horizontal="center"/>
      <protection locked="0"/>
    </xf>
    <xf numFmtId="0" fontId="126" fillId="0" borderId="173" xfId="1" applyFont="1" applyFill="1" applyBorder="1" applyAlignment="1" applyProtection="1">
      <alignment horizontal="center"/>
      <protection locked="0"/>
    </xf>
    <xf numFmtId="0" fontId="127" fillId="0" borderId="172" xfId="1" applyNumberFormat="1" applyFont="1" applyFill="1" applyBorder="1" applyAlignment="1" applyProtection="1">
      <alignment horizontal="center"/>
      <protection locked="0"/>
    </xf>
    <xf numFmtId="0" fontId="127" fillId="0" borderId="173" xfId="1" applyNumberFormat="1" applyFont="1" applyFill="1" applyBorder="1" applyAlignment="1" applyProtection="1">
      <alignment horizontal="center"/>
      <protection locked="0"/>
    </xf>
    <xf numFmtId="0" fontId="127" fillId="0" borderId="4" xfId="1" applyNumberFormat="1" applyFont="1" applyBorder="1" applyAlignment="1" applyProtection="1">
      <alignment horizontal="center" vertical="top" wrapText="1"/>
    </xf>
    <xf numFmtId="0" fontId="127" fillId="0" borderId="31" xfId="1" applyNumberFormat="1" applyFont="1" applyBorder="1" applyAlignment="1" applyProtection="1">
      <alignment horizontal="center" vertical="top" wrapText="1"/>
    </xf>
    <xf numFmtId="0" fontId="127" fillId="0" borderId="1" xfId="1" applyNumberFormat="1" applyFont="1" applyBorder="1" applyAlignment="1" applyProtection="1">
      <alignment horizontal="center" vertical="top" wrapText="1"/>
    </xf>
    <xf numFmtId="0" fontId="127" fillId="0" borderId="10" xfId="1" applyNumberFormat="1" applyFont="1" applyBorder="1" applyAlignment="1" applyProtection="1">
      <alignment horizontal="center" vertical="top" wrapText="1"/>
    </xf>
    <xf numFmtId="0" fontId="126" fillId="0" borderId="9" xfId="1" applyFont="1" applyBorder="1" applyAlignment="1" applyProtection="1">
      <alignment horizontal="center" vertical="top" wrapText="1"/>
    </xf>
    <xf numFmtId="0" fontId="158" fillId="0" borderId="10" xfId="1" applyFont="1" applyBorder="1" applyAlignment="1" applyProtection="1">
      <alignment vertical="top" wrapText="1"/>
    </xf>
    <xf numFmtId="0" fontId="126" fillId="0" borderId="10" xfId="1" applyFont="1" applyBorder="1" applyAlignment="1" applyProtection="1">
      <alignment horizontal="center" vertical="top" wrapText="1"/>
    </xf>
    <xf numFmtId="2" fontId="127" fillId="0" borderId="11" xfId="1" applyNumberFormat="1" applyFont="1" applyBorder="1" applyAlignment="1" applyProtection="1">
      <alignment horizontal="center" vertical="center"/>
    </xf>
    <xf numFmtId="0" fontId="126" fillId="0" borderId="32" xfId="1" applyFont="1" applyFill="1" applyBorder="1" applyAlignment="1" applyProtection="1">
      <alignment horizontal="left" vertical="top" wrapText="1"/>
      <protection locked="0"/>
    </xf>
    <xf numFmtId="0" fontId="126" fillId="0" borderId="1" xfId="1" applyFont="1" applyBorder="1" applyAlignment="1" applyProtection="1">
      <alignment horizontal="center"/>
    </xf>
    <xf numFmtId="49" fontId="124" fillId="0" borderId="11" xfId="1" applyNumberFormat="1" applyFont="1" applyBorder="1" applyAlignment="1" applyProtection="1">
      <alignment horizontal="right" vertical="top"/>
    </xf>
    <xf numFmtId="0" fontId="126" fillId="0" borderId="7" xfId="1" applyFont="1" applyBorder="1" applyAlignment="1" applyProtection="1">
      <alignment horizontal="center" vertical="center"/>
    </xf>
    <xf numFmtId="0" fontId="132" fillId="18" borderId="12" xfId="1" applyFont="1" applyFill="1" applyBorder="1" applyAlignment="1" applyProtection="1">
      <alignment horizontal="center" vertical="top" shrinkToFit="1"/>
    </xf>
    <xf numFmtId="0" fontId="132" fillId="18" borderId="13" xfId="1" applyFont="1" applyFill="1" applyBorder="1" applyAlignment="1" applyProtection="1">
      <alignment horizontal="center" vertical="top" shrinkToFit="1"/>
    </xf>
    <xf numFmtId="0" fontId="125" fillId="6" borderId="5" xfId="1" applyFont="1" applyFill="1" applyBorder="1" applyAlignment="1" applyProtection="1">
      <alignment horizontal="center"/>
    </xf>
    <xf numFmtId="0" fontId="125" fillId="6" borderId="6" xfId="1" applyFont="1" applyFill="1" applyBorder="1" applyAlignment="1" applyProtection="1">
      <alignment horizontal="center"/>
    </xf>
    <xf numFmtId="0" fontId="125" fillId="6" borderId="7" xfId="1" applyFont="1" applyFill="1" applyBorder="1" applyAlignment="1" applyProtection="1">
      <alignment horizontal="center"/>
    </xf>
    <xf numFmtId="0" fontId="126" fillId="0" borderId="15" xfId="1" applyFont="1" applyBorder="1" applyAlignment="1" applyProtection="1">
      <alignment horizontal="center" vertical="center"/>
    </xf>
    <xf numFmtId="0" fontId="126" fillId="0" borderId="16" xfId="1" applyFont="1" applyBorder="1" applyAlignment="1" applyProtection="1">
      <alignment horizontal="center" vertical="center"/>
    </xf>
    <xf numFmtId="0" fontId="126" fillId="0" borderId="190" xfId="1" applyFont="1" applyFill="1" applyBorder="1" applyAlignment="1" applyProtection="1">
      <alignment horizontal="left" vertical="center" wrapText="1"/>
      <protection locked="0"/>
    </xf>
    <xf numFmtId="0" fontId="126" fillId="0" borderId="191" xfId="1" applyFont="1" applyFill="1" applyBorder="1" applyAlignment="1" applyProtection="1">
      <alignment horizontal="left" vertical="center" wrapText="1"/>
      <protection locked="0"/>
    </xf>
    <xf numFmtId="0" fontId="126" fillId="0" borderId="174" xfId="1" applyFont="1" applyFill="1" applyBorder="1" applyAlignment="1" applyProtection="1">
      <alignment horizontal="left" vertical="center" wrapText="1"/>
      <protection locked="0"/>
    </xf>
    <xf numFmtId="0" fontId="126" fillId="0" borderId="175" xfId="1" applyFont="1" applyFill="1" applyBorder="1" applyAlignment="1" applyProtection="1">
      <alignment horizontal="left" vertical="center" wrapText="1"/>
      <protection locked="0"/>
    </xf>
    <xf numFmtId="0" fontId="126" fillId="0" borderId="176" xfId="1" applyFont="1" applyFill="1" applyBorder="1" applyAlignment="1" applyProtection="1">
      <alignment horizontal="left" vertical="center" wrapText="1"/>
      <protection locked="0"/>
    </xf>
    <xf numFmtId="0" fontId="126" fillId="0" borderId="177" xfId="1" applyFont="1" applyFill="1" applyBorder="1" applyAlignment="1" applyProtection="1">
      <alignment horizontal="left" vertical="center" wrapText="1"/>
      <protection locked="0"/>
    </xf>
    <xf numFmtId="0" fontId="124" fillId="0" borderId="5" xfId="1" applyFont="1" applyBorder="1" applyAlignment="1" applyProtection="1">
      <alignment horizontal="left" vertical="center" wrapText="1"/>
    </xf>
    <xf numFmtId="0" fontId="124" fillId="0" borderId="5" xfId="1" applyFont="1" applyBorder="1" applyAlignment="1" applyProtection="1">
      <alignment horizontal="left" vertical="top" wrapText="1"/>
    </xf>
    <xf numFmtId="0" fontId="126" fillId="0" borderId="31" xfId="1" applyFont="1" applyBorder="1" applyAlignment="1" applyProtection="1">
      <alignment horizontal="center" vertical="center"/>
    </xf>
    <xf numFmtId="0" fontId="126" fillId="0" borderId="10" xfId="1" applyFont="1" applyBorder="1" applyAlignment="1" applyProtection="1">
      <alignment horizontal="center" vertical="center"/>
    </xf>
    <xf numFmtId="0" fontId="126" fillId="0" borderId="2" xfId="1" applyFont="1" applyBorder="1" applyAlignment="1" applyProtection="1">
      <alignment horizontal="center" vertical="center"/>
    </xf>
    <xf numFmtId="0" fontId="126" fillId="0" borderId="8" xfId="1" applyFont="1" applyBorder="1" applyAlignment="1" applyProtection="1">
      <alignment horizontal="center" vertical="center"/>
    </xf>
    <xf numFmtId="2" fontId="127" fillId="0" borderId="2" xfId="1" applyNumberFormat="1" applyFont="1" applyBorder="1" applyAlignment="1" applyProtection="1">
      <alignment horizontal="center" vertical="center"/>
    </xf>
    <xf numFmtId="2" fontId="127" fillId="0" borderId="8" xfId="1" applyNumberFormat="1" applyFont="1" applyBorder="1" applyAlignment="1" applyProtection="1">
      <alignment horizontal="center" vertical="center"/>
    </xf>
    <xf numFmtId="49" fontId="124" fillId="0" borderId="2" xfId="1" applyNumberFormat="1" applyFont="1" applyBorder="1" applyAlignment="1" applyProtection="1">
      <alignment horizontal="right" vertical="top"/>
    </xf>
    <xf numFmtId="49" fontId="124" fillId="0" borderId="8" xfId="1" applyNumberFormat="1" applyFont="1" applyBorder="1" applyAlignment="1" applyProtection="1">
      <alignment horizontal="right" vertical="top"/>
    </xf>
    <xf numFmtId="0" fontId="127" fillId="2" borderId="5" xfId="1" applyFont="1" applyFill="1" applyBorder="1" applyAlignment="1" applyProtection="1">
      <alignment horizontal="left" vertical="center"/>
    </xf>
    <xf numFmtId="0" fontId="127" fillId="2" borderId="6" xfId="1" applyFont="1" applyFill="1" applyBorder="1" applyAlignment="1" applyProtection="1">
      <alignment horizontal="left" vertical="center"/>
    </xf>
    <xf numFmtId="0" fontId="127" fillId="2" borderId="7" xfId="1" applyFont="1" applyFill="1" applyBorder="1" applyAlignment="1" applyProtection="1">
      <alignment horizontal="left" vertical="center"/>
    </xf>
    <xf numFmtId="0" fontId="127" fillId="3" borderId="6" xfId="1" applyFont="1" applyFill="1" applyBorder="1" applyAlignment="1" applyProtection="1">
      <alignment horizontal="left" vertical="center"/>
    </xf>
    <xf numFmtId="0" fontId="127" fillId="3" borderId="7" xfId="1" applyFont="1" applyFill="1" applyBorder="1" applyAlignment="1" applyProtection="1">
      <alignment horizontal="left" vertical="center"/>
    </xf>
    <xf numFmtId="0" fontId="126" fillId="0" borderId="6" xfId="1" applyFont="1" applyBorder="1" applyAlignment="1" applyProtection="1">
      <alignment horizontal="left" vertical="center" wrapText="1"/>
    </xf>
    <xf numFmtId="0" fontId="126" fillId="0" borderId="7" xfId="1" applyFont="1" applyBorder="1" applyAlignment="1" applyProtection="1">
      <alignment horizontal="left" vertical="center" wrapText="1"/>
    </xf>
    <xf numFmtId="4" fontId="160" fillId="0" borderId="5" xfId="1" applyNumberFormat="1" applyFont="1" applyBorder="1" applyAlignment="1" applyProtection="1">
      <alignment horizontal="center" vertical="center" wrapText="1" shrinkToFit="1"/>
    </xf>
    <xf numFmtId="0" fontId="160" fillId="0" borderId="6" xfId="1" applyFont="1" applyBorder="1" applyAlignment="1" applyProtection="1">
      <alignment horizontal="center" vertical="center" wrapText="1" shrinkToFit="1"/>
    </xf>
    <xf numFmtId="0" fontId="151" fillId="0" borderId="32" xfId="1" applyFont="1" applyFill="1" applyBorder="1" applyAlignment="1" applyProtection="1">
      <alignment horizontal="left" vertical="top" wrapText="1" shrinkToFit="1"/>
      <protection locked="0"/>
    </xf>
    <xf numFmtId="0" fontId="151" fillId="0" borderId="33" xfId="1" applyFont="1" applyFill="1" applyBorder="1" applyAlignment="1" applyProtection="1">
      <alignment horizontal="left" vertical="top" wrapText="1" shrinkToFit="1"/>
      <protection locked="0"/>
    </xf>
    <xf numFmtId="0" fontId="143" fillId="18" borderId="3" xfId="1" applyFont="1" applyFill="1" applyBorder="1" applyAlignment="1" applyProtection="1">
      <alignment horizontal="center" vertical="top" wrapText="1" shrinkToFit="1"/>
    </xf>
    <xf numFmtId="0" fontId="143" fillId="18" borderId="9" xfId="1" applyFont="1" applyFill="1" applyBorder="1" applyAlignment="1" applyProtection="1">
      <alignment horizontal="center" vertical="top" wrapText="1" shrinkToFit="1"/>
    </xf>
    <xf numFmtId="0" fontId="127" fillId="0" borderId="5" xfId="1" applyFont="1" applyBorder="1" applyAlignment="1" applyProtection="1">
      <alignment horizontal="right" vertical="top" wrapText="1"/>
    </xf>
    <xf numFmtId="0" fontId="127" fillId="0" borderId="6" xfId="1" applyFont="1" applyBorder="1" applyAlignment="1" applyProtection="1">
      <alignment horizontal="right" vertical="top" wrapText="1"/>
    </xf>
    <xf numFmtId="0" fontId="127" fillId="0" borderId="1" xfId="1" applyFont="1" applyBorder="1" applyAlignment="1" applyProtection="1">
      <alignment horizontal="right" vertical="top" wrapText="1"/>
    </xf>
    <xf numFmtId="0" fontId="127" fillId="0" borderId="7" xfId="1" applyFont="1" applyBorder="1" applyAlignment="1" applyProtection="1">
      <alignment horizontal="right" vertical="top" wrapText="1"/>
    </xf>
    <xf numFmtId="0" fontId="127" fillId="3" borderId="6" xfId="1" applyFont="1" applyFill="1" applyBorder="1" applyAlignment="1" applyProtection="1">
      <alignment horizontal="left" vertical="center" shrinkToFit="1"/>
    </xf>
    <xf numFmtId="0" fontId="127" fillId="3" borderId="7" xfId="1" applyFont="1" applyFill="1" applyBorder="1" applyAlignment="1" applyProtection="1">
      <alignment horizontal="left" vertical="center" shrinkToFit="1"/>
    </xf>
    <xf numFmtId="0" fontId="123" fillId="0" borderId="0" xfId="1" applyFont="1" applyAlignment="1" applyProtection="1">
      <alignment horizontal="center"/>
    </xf>
    <xf numFmtId="0" fontId="126" fillId="0" borderId="43" xfId="1" applyFont="1" applyBorder="1" applyAlignment="1" applyProtection="1">
      <alignment horizontal="center"/>
    </xf>
    <xf numFmtId="0" fontId="126" fillId="0" borderId="44" xfId="1" applyFont="1" applyBorder="1" applyAlignment="1" applyProtection="1">
      <alignment horizontal="center"/>
    </xf>
    <xf numFmtId="0" fontId="124" fillId="0" borderId="44" xfId="1" applyFont="1" applyBorder="1" applyAlignment="1" applyProtection="1">
      <alignment horizontal="center"/>
    </xf>
    <xf numFmtId="0" fontId="127" fillId="2" borderId="4" xfId="1" applyFont="1" applyFill="1" applyBorder="1" applyAlignment="1" applyProtection="1">
      <alignment horizontal="left" vertical="center"/>
    </xf>
    <xf numFmtId="0" fontId="124" fillId="0" borderId="4" xfId="1" applyNumberFormat="1" applyFont="1" applyBorder="1" applyAlignment="1" applyProtection="1">
      <alignment horizontal="left" vertical="top" wrapText="1"/>
    </xf>
    <xf numFmtId="0" fontId="124" fillId="0" borderId="31" xfId="1" applyNumberFormat="1" applyFont="1" applyBorder="1" applyAlignment="1" applyProtection="1">
      <alignment horizontal="left" vertical="top" wrapText="1"/>
    </xf>
    <xf numFmtId="0" fontId="126" fillId="0" borderId="43" xfId="1" applyNumberFormat="1" applyFont="1" applyBorder="1" applyAlignment="1" applyProtection="1">
      <alignment horizontal="center"/>
    </xf>
    <xf numFmtId="0" fontId="126" fillId="0" borderId="44" xfId="1" applyNumberFormat="1" applyFont="1" applyBorder="1" applyAlignment="1" applyProtection="1">
      <alignment horizontal="center"/>
    </xf>
    <xf numFmtId="0" fontId="127" fillId="23" borderId="9" xfId="1" applyFont="1" applyFill="1" applyBorder="1" applyAlignment="1" applyProtection="1">
      <alignment horizontal="center" vertical="top" wrapText="1"/>
    </xf>
    <xf numFmtId="0" fontId="127" fillId="23" borderId="1" xfId="1" applyFont="1" applyFill="1" applyBorder="1" applyAlignment="1" applyProtection="1">
      <alignment horizontal="center" vertical="top" wrapText="1"/>
    </xf>
    <xf numFmtId="0" fontId="127" fillId="23" borderId="10" xfId="1" applyFont="1" applyFill="1" applyBorder="1" applyAlignment="1" applyProtection="1">
      <alignment horizontal="center" vertical="top" wrapText="1"/>
    </xf>
    <xf numFmtId="0" fontId="31" fillId="13" borderId="53" xfId="9" applyFont="1" applyFill="1" applyBorder="1" applyAlignment="1" applyProtection="1">
      <alignment horizontal="center" vertical="center" wrapText="1"/>
    </xf>
    <xf numFmtId="0" fontId="31" fillId="13" borderId="54" xfId="9" applyFont="1" applyFill="1" applyBorder="1" applyAlignment="1" applyProtection="1">
      <alignment horizontal="center" vertical="center" wrapText="1"/>
    </xf>
    <xf numFmtId="0" fontId="31" fillId="13" borderId="55" xfId="9" applyFont="1" applyFill="1" applyBorder="1" applyAlignment="1" applyProtection="1">
      <alignment horizontal="center" vertical="center" wrapText="1"/>
    </xf>
    <xf numFmtId="0" fontId="31" fillId="13" borderId="68" xfId="9" applyFont="1" applyFill="1" applyBorder="1" applyAlignment="1" applyProtection="1">
      <alignment horizontal="center"/>
    </xf>
    <xf numFmtId="0" fontId="31" fillId="13" borderId="69" xfId="9" applyFont="1" applyFill="1" applyBorder="1" applyAlignment="1" applyProtection="1">
      <alignment horizontal="center"/>
    </xf>
    <xf numFmtId="0" fontId="31" fillId="13" borderId="70" xfId="9" applyFont="1" applyFill="1" applyBorder="1" applyAlignment="1" applyProtection="1">
      <alignment horizontal="center"/>
    </xf>
    <xf numFmtId="0" fontId="27" fillId="0" borderId="5" xfId="9" applyFont="1" applyBorder="1" applyAlignment="1" applyProtection="1">
      <alignment horizontal="left" vertical="center"/>
    </xf>
    <xf numFmtId="0" fontId="27" fillId="0" borderId="6" xfId="9" applyFont="1" applyBorder="1" applyAlignment="1" applyProtection="1">
      <alignment horizontal="left" vertical="center"/>
    </xf>
    <xf numFmtId="0" fontId="27" fillId="0" borderId="7" xfId="9" applyFont="1" applyBorder="1" applyAlignment="1" applyProtection="1">
      <alignment horizontal="left" vertical="center"/>
    </xf>
    <xf numFmtId="0" fontId="27" fillId="0" borderId="52" xfId="9" applyFont="1" applyBorder="1" applyAlignment="1" applyProtection="1">
      <alignment horizontal="left" vertical="top" wrapText="1"/>
    </xf>
    <xf numFmtId="0" fontId="27" fillId="0" borderId="60" xfId="9" applyFont="1" applyBorder="1" applyAlignment="1" applyProtection="1">
      <alignment horizontal="left" vertical="top" wrapText="1"/>
    </xf>
    <xf numFmtId="0" fontId="11" fillId="0" borderId="52" xfId="9" applyFont="1" applyBorder="1" applyAlignment="1" applyProtection="1">
      <alignment horizontal="left" vertical="top" wrapText="1"/>
    </xf>
    <xf numFmtId="0" fontId="11" fillId="0" borderId="60" xfId="9" applyFont="1" applyBorder="1" applyAlignment="1" applyProtection="1">
      <alignment horizontal="left" vertical="top" wrapText="1"/>
    </xf>
    <xf numFmtId="0" fontId="31" fillId="13" borderId="58" xfId="9" applyFont="1" applyFill="1" applyBorder="1" applyAlignment="1" applyProtection="1">
      <alignment horizontal="right"/>
    </xf>
    <xf numFmtId="0" fontId="31" fillId="13" borderId="52" xfId="9" applyFont="1" applyFill="1" applyBorder="1" applyAlignment="1" applyProtection="1">
      <alignment horizontal="right"/>
    </xf>
    <xf numFmtId="0" fontId="31" fillId="13" borderId="60" xfId="9" applyFont="1" applyFill="1" applyBorder="1" applyAlignment="1" applyProtection="1">
      <alignment horizontal="right"/>
    </xf>
    <xf numFmtId="0" fontId="11" fillId="0" borderId="52" xfId="9" applyFont="1" applyBorder="1" applyAlignment="1" applyProtection="1">
      <alignment horizontal="left" vertical="center" wrapText="1"/>
    </xf>
    <xf numFmtId="0" fontId="11" fillId="0" borderId="60" xfId="9" applyFont="1" applyBorder="1" applyAlignment="1" applyProtection="1">
      <alignment horizontal="left" vertical="center" wrapText="1"/>
    </xf>
    <xf numFmtId="0" fontId="31" fillId="13" borderId="68" xfId="9" applyFont="1" applyFill="1" applyBorder="1" applyAlignment="1" applyProtection="1">
      <alignment horizontal="right"/>
    </xf>
    <xf numFmtId="0" fontId="31" fillId="13" borderId="69" xfId="9" applyFont="1" applyFill="1" applyBorder="1" applyAlignment="1" applyProtection="1">
      <alignment horizontal="right"/>
    </xf>
    <xf numFmtId="0" fontId="27" fillId="0" borderId="52" xfId="9" applyFont="1" applyBorder="1" applyAlignment="1" applyProtection="1">
      <alignment horizontal="left" vertical="center" wrapText="1"/>
    </xf>
    <xf numFmtId="0" fontId="31" fillId="13" borderId="54" xfId="9" applyFont="1" applyFill="1" applyBorder="1" applyAlignment="1" applyProtection="1">
      <alignment horizontal="center" vertical="center"/>
    </xf>
    <xf numFmtId="0" fontId="11" fillId="0" borderId="66" xfId="9" applyFont="1" applyBorder="1" applyAlignment="1" applyProtection="1">
      <alignment horizontal="center" vertical="center"/>
    </xf>
    <xf numFmtId="0" fontId="11" fillId="0" borderId="64" xfId="9" applyFont="1" applyBorder="1" applyAlignment="1" applyProtection="1">
      <alignment horizontal="center" vertical="center"/>
    </xf>
    <xf numFmtId="0" fontId="39" fillId="0" borderId="52" xfId="9" applyFont="1" applyBorder="1" applyAlignment="1" applyProtection="1">
      <alignment horizontal="left" vertical="top" wrapText="1"/>
    </xf>
    <xf numFmtId="0" fontId="39" fillId="0" borderId="60" xfId="9" applyFont="1" applyBorder="1" applyAlignment="1" applyProtection="1">
      <alignment horizontal="left" vertical="top" wrapText="1"/>
    </xf>
    <xf numFmtId="0" fontId="39" fillId="0" borderId="52" xfId="9" applyFont="1" applyBorder="1" applyAlignment="1" applyProtection="1">
      <alignment horizontal="left" vertical="center" wrapText="1"/>
    </xf>
    <xf numFmtId="0" fontId="39" fillId="0" borderId="60" xfId="9" applyFont="1" applyBorder="1" applyAlignment="1" applyProtection="1">
      <alignment horizontal="left" vertical="center" wrapText="1"/>
    </xf>
    <xf numFmtId="0" fontId="31" fillId="13" borderId="70" xfId="9" applyFont="1" applyFill="1" applyBorder="1" applyAlignment="1" applyProtection="1">
      <alignment horizontal="right"/>
    </xf>
    <xf numFmtId="0" fontId="26" fillId="0" borderId="0" xfId="9" applyFont="1" applyFill="1" applyAlignment="1" applyProtection="1">
      <alignment horizontal="center"/>
    </xf>
    <xf numFmtId="49" fontId="27" fillId="0" borderId="65" xfId="9" applyNumberFormat="1" applyFont="1" applyBorder="1" applyAlignment="1" applyProtection="1">
      <alignment horizontal="right" vertical="top" wrapText="1"/>
    </xf>
    <xf numFmtId="49" fontId="27" fillId="0" borderId="67" xfId="9" applyNumberFormat="1" applyFont="1" applyBorder="1" applyAlignment="1" applyProtection="1">
      <alignment horizontal="right" vertical="top" wrapText="1"/>
    </xf>
    <xf numFmtId="0" fontId="11" fillId="0" borderId="52" xfId="3" applyFont="1" applyFill="1" applyBorder="1" applyAlignment="1" applyProtection="1">
      <alignment horizontal="left" vertical="center"/>
    </xf>
    <xf numFmtId="0" fontId="31" fillId="0" borderId="5" xfId="9" applyFont="1" applyFill="1" applyBorder="1" applyAlignment="1" applyProtection="1">
      <alignment vertical="center"/>
    </xf>
    <xf numFmtId="0" fontId="31" fillId="0" borderId="6" xfId="9" applyFont="1" applyFill="1" applyBorder="1" applyAlignment="1" applyProtection="1">
      <alignment vertical="center"/>
    </xf>
    <xf numFmtId="0" fontId="31" fillId="0" borderId="7" xfId="9" applyFont="1" applyFill="1" applyBorder="1" applyAlignment="1" applyProtection="1">
      <alignment vertical="center"/>
    </xf>
    <xf numFmtId="0" fontId="27" fillId="0" borderId="16" xfId="9" applyFont="1" applyBorder="1" applyAlignment="1" applyProtection="1">
      <alignment horizontal="left" vertical="center"/>
    </xf>
    <xf numFmtId="0" fontId="27" fillId="0" borderId="17" xfId="9" applyFont="1" applyBorder="1" applyAlignment="1" applyProtection="1">
      <alignment horizontal="left" vertical="center"/>
    </xf>
    <xf numFmtId="0" fontId="30" fillId="0" borderId="0" xfId="9" applyFont="1" applyBorder="1" applyAlignment="1" applyProtection="1">
      <alignment horizontal="left"/>
    </xf>
    <xf numFmtId="0" fontId="27" fillId="0" borderId="25" xfId="9" applyFont="1" applyBorder="1" applyAlignment="1" applyProtection="1">
      <alignment horizontal="left" vertical="center"/>
    </xf>
    <xf numFmtId="0" fontId="27" fillId="0" borderId="26" xfId="9" applyFont="1" applyBorder="1" applyAlignment="1" applyProtection="1">
      <alignment horizontal="left" vertical="center"/>
    </xf>
    <xf numFmtId="0" fontId="27" fillId="0" borderId="29" xfId="9" applyFont="1" applyBorder="1" applyAlignment="1" applyProtection="1">
      <alignment horizontal="left" vertical="center"/>
    </xf>
    <xf numFmtId="0" fontId="27" fillId="0" borderId="30" xfId="9" applyFont="1" applyBorder="1" applyAlignment="1" applyProtection="1">
      <alignment horizontal="left" vertical="center"/>
    </xf>
    <xf numFmtId="0" fontId="33" fillId="13" borderId="2" xfId="6" applyFont="1" applyFill="1" applyBorder="1" applyAlignment="1" applyProtection="1">
      <alignment horizontal="center" vertical="top" wrapText="1"/>
    </xf>
    <xf numFmtId="0" fontId="33" fillId="13" borderId="22" xfId="6" applyFont="1" applyFill="1" applyBorder="1" applyAlignment="1" applyProtection="1">
      <alignment horizontal="center" vertical="top" wrapText="1"/>
    </xf>
    <xf numFmtId="0" fontId="33" fillId="13" borderId="8" xfId="6" applyFont="1" applyFill="1" applyBorder="1" applyAlignment="1" applyProtection="1">
      <alignment horizontal="center" vertical="top" wrapText="1"/>
    </xf>
    <xf numFmtId="0" fontId="14" fillId="12" borderId="5" xfId="6" applyFont="1" applyFill="1" applyBorder="1" applyAlignment="1" applyProtection="1">
      <alignment horizontal="center" vertical="center"/>
    </xf>
    <xf numFmtId="0" fontId="14" fillId="12" borderId="6" xfId="6" applyFont="1" applyFill="1" applyBorder="1" applyAlignment="1" applyProtection="1">
      <alignment horizontal="center" vertical="center"/>
    </xf>
    <xf numFmtId="0" fontId="14" fillId="12" borderId="7" xfId="6" applyFont="1" applyFill="1" applyBorder="1" applyAlignment="1" applyProtection="1">
      <alignment horizontal="center" vertical="center"/>
    </xf>
    <xf numFmtId="0" fontId="11" fillId="0" borderId="51" xfId="3" applyFont="1" applyFill="1" applyBorder="1" applyAlignment="1" applyProtection="1">
      <alignment horizontal="left" vertical="center"/>
    </xf>
    <xf numFmtId="0" fontId="14" fillId="13" borderId="2" xfId="6" applyFont="1" applyFill="1" applyBorder="1" applyAlignment="1" applyProtection="1">
      <alignment horizontal="center" vertical="top" wrapText="1"/>
    </xf>
    <xf numFmtId="0" fontId="14" fillId="13" borderId="22" xfId="6" applyFont="1" applyFill="1" applyBorder="1" applyAlignment="1" applyProtection="1">
      <alignment horizontal="center" vertical="top" wrapText="1"/>
    </xf>
    <xf numFmtId="0" fontId="14" fillId="13" borderId="8" xfId="6" applyFont="1" applyFill="1" applyBorder="1" applyAlignment="1" applyProtection="1">
      <alignment horizontal="center" vertical="top" wrapText="1"/>
    </xf>
    <xf numFmtId="0" fontId="29" fillId="13" borderId="2" xfId="6" applyFont="1" applyFill="1" applyBorder="1" applyAlignment="1" applyProtection="1">
      <alignment horizontal="center" vertical="top" wrapText="1"/>
    </xf>
    <xf numFmtId="0" fontId="14" fillId="13" borderId="5" xfId="6" applyFont="1" applyFill="1" applyBorder="1" applyAlignment="1" applyProtection="1">
      <alignment horizontal="center" vertical="center"/>
    </xf>
    <xf numFmtId="0" fontId="14" fillId="13" borderId="6" xfId="6" applyFont="1" applyFill="1" applyBorder="1" applyAlignment="1" applyProtection="1">
      <alignment horizontal="center" vertical="center"/>
    </xf>
    <xf numFmtId="0" fontId="14" fillId="13" borderId="7" xfId="6" applyFont="1" applyFill="1" applyBorder="1" applyAlignment="1" applyProtection="1">
      <alignment horizontal="center" vertical="center"/>
    </xf>
    <xf numFmtId="0" fontId="33" fillId="13" borderId="11" xfId="9" applyFont="1" applyFill="1" applyBorder="1" applyAlignment="1" applyProtection="1">
      <alignment horizontal="center" vertical="top" wrapText="1"/>
    </xf>
    <xf numFmtId="0" fontId="33" fillId="13" borderId="11" xfId="9" applyFont="1" applyFill="1" applyBorder="1" applyAlignment="1" applyProtection="1">
      <alignment horizontal="center" vertical="top"/>
    </xf>
    <xf numFmtId="0" fontId="35" fillId="0" borderId="0" xfId="9" applyFont="1" applyAlignment="1" applyProtection="1">
      <alignment horizontal="left" vertical="center" wrapText="1"/>
    </xf>
    <xf numFmtId="0" fontId="31" fillId="13" borderId="3" xfId="9" applyFont="1" applyFill="1" applyBorder="1" applyAlignment="1" applyProtection="1">
      <alignment horizontal="center" vertical="center" wrapText="1"/>
    </xf>
    <xf numFmtId="0" fontId="31" fillId="13" borderId="4" xfId="9" applyFont="1" applyFill="1" applyBorder="1" applyAlignment="1" applyProtection="1">
      <alignment horizontal="center" vertical="center" wrapText="1"/>
    </xf>
    <xf numFmtId="0" fontId="31" fillId="13" borderId="31" xfId="9" applyFont="1" applyFill="1" applyBorder="1" applyAlignment="1" applyProtection="1">
      <alignment horizontal="center" vertical="center" wrapText="1"/>
    </xf>
    <xf numFmtId="0" fontId="31" fillId="13" borderId="12" xfId="9" applyFont="1" applyFill="1" applyBorder="1" applyAlignment="1" applyProtection="1">
      <alignment horizontal="center" vertical="center" wrapText="1"/>
    </xf>
    <xf numFmtId="0" fontId="31" fillId="13" borderId="0" xfId="9" applyFont="1" applyFill="1" applyBorder="1" applyAlignment="1" applyProtection="1">
      <alignment horizontal="center" vertical="center" wrapText="1"/>
    </xf>
    <xf numFmtId="0" fontId="31" fillId="13" borderId="13" xfId="9" applyFont="1" applyFill="1" applyBorder="1" applyAlignment="1" applyProtection="1">
      <alignment horizontal="center" vertical="center" wrapText="1"/>
    </xf>
    <xf numFmtId="0" fontId="31" fillId="13" borderId="9" xfId="9" applyFont="1" applyFill="1" applyBorder="1" applyAlignment="1" applyProtection="1">
      <alignment horizontal="center" vertical="center" wrapText="1"/>
    </xf>
    <xf numFmtId="0" fontId="31" fillId="13" borderId="1" xfId="9" applyFont="1" applyFill="1" applyBorder="1" applyAlignment="1" applyProtection="1">
      <alignment horizontal="center" vertical="center" wrapText="1"/>
    </xf>
    <xf numFmtId="0" fontId="31" fillId="13" borderId="10" xfId="9" applyFont="1" applyFill="1" applyBorder="1" applyAlignment="1" applyProtection="1">
      <alignment horizontal="center" vertical="center" wrapText="1"/>
    </xf>
    <xf numFmtId="0" fontId="31" fillId="0" borderId="5" xfId="9" applyFont="1" applyBorder="1" applyAlignment="1" applyProtection="1">
      <alignment horizontal="center" vertical="center"/>
    </xf>
    <xf numFmtId="0" fontId="31" fillId="0" borderId="6" xfId="9" applyFont="1" applyBorder="1" applyAlignment="1" applyProtection="1">
      <alignment horizontal="center" vertical="center"/>
    </xf>
    <xf numFmtId="0" fontId="31" fillId="0" borderId="7" xfId="9" applyFont="1" applyBorder="1" applyAlignment="1" applyProtection="1">
      <alignment horizontal="center" vertical="center"/>
    </xf>
    <xf numFmtId="0" fontId="31" fillId="13" borderId="3" xfId="9" applyFont="1" applyFill="1" applyBorder="1" applyAlignment="1" applyProtection="1">
      <alignment horizontal="center" vertical="center"/>
    </xf>
    <xf numFmtId="0" fontId="31" fillId="13" borderId="4" xfId="9" applyFont="1" applyFill="1" applyBorder="1" applyAlignment="1" applyProtection="1">
      <alignment horizontal="center" vertical="center"/>
    </xf>
    <xf numFmtId="0" fontId="31" fillId="13" borderId="31" xfId="9" applyFont="1" applyFill="1" applyBorder="1" applyAlignment="1" applyProtection="1">
      <alignment horizontal="center" vertical="center"/>
    </xf>
    <xf numFmtId="0" fontId="31" fillId="13" borderId="12" xfId="9" applyFont="1" applyFill="1" applyBorder="1" applyAlignment="1" applyProtection="1">
      <alignment horizontal="center" vertical="center"/>
    </xf>
    <xf numFmtId="0" fontId="31" fillId="13" borderId="0" xfId="9" applyFont="1" applyFill="1" applyBorder="1" applyAlignment="1" applyProtection="1">
      <alignment horizontal="center" vertical="center"/>
    </xf>
    <xf numFmtId="0" fontId="31" fillId="13" borderId="13" xfId="9" applyFont="1" applyFill="1" applyBorder="1" applyAlignment="1" applyProtection="1">
      <alignment horizontal="center" vertical="center"/>
    </xf>
    <xf numFmtId="0" fontId="31" fillId="13" borderId="9" xfId="9" applyFont="1" applyFill="1" applyBorder="1" applyAlignment="1" applyProtection="1">
      <alignment horizontal="center" vertical="center"/>
    </xf>
    <xf numFmtId="0" fontId="31" fillId="13" borderId="1" xfId="9" applyFont="1" applyFill="1" applyBorder="1" applyAlignment="1" applyProtection="1">
      <alignment horizontal="center" vertical="center"/>
    </xf>
    <xf numFmtId="0" fontId="31" fillId="13" borderId="10" xfId="9" applyFont="1" applyFill="1" applyBorder="1" applyAlignment="1" applyProtection="1">
      <alignment horizontal="center" vertical="center"/>
    </xf>
    <xf numFmtId="0" fontId="11" fillId="0" borderId="89" xfId="3" applyFont="1" applyBorder="1" applyAlignment="1" applyProtection="1">
      <alignment horizontal="left"/>
      <protection locked="0"/>
    </xf>
    <xf numFmtId="0" fontId="11" fillId="0" borderId="60" xfId="3" applyFont="1" applyBorder="1" applyAlignment="1" applyProtection="1">
      <alignment horizontal="left"/>
      <protection locked="0"/>
    </xf>
    <xf numFmtId="0" fontId="11" fillId="0" borderId="159" xfId="3" applyFont="1" applyBorder="1" applyAlignment="1" applyProtection="1">
      <alignment horizontal="left"/>
      <protection locked="0"/>
    </xf>
    <xf numFmtId="0" fontId="11" fillId="0" borderId="112" xfId="3" applyFont="1" applyBorder="1" applyAlignment="1" applyProtection="1">
      <alignment horizontal="left"/>
      <protection locked="0"/>
    </xf>
    <xf numFmtId="0" fontId="11" fillId="0" borderId="160" xfId="3" applyFont="1" applyBorder="1" applyAlignment="1" applyProtection="1">
      <alignment horizontal="left"/>
      <protection locked="0"/>
    </xf>
    <xf numFmtId="0" fontId="11" fillId="0" borderId="52" xfId="3" applyFont="1" applyBorder="1" applyAlignment="1" applyProtection="1">
      <alignment horizontal="left"/>
      <protection locked="0"/>
    </xf>
    <xf numFmtId="0" fontId="14" fillId="13" borderId="84" xfId="3" applyFont="1" applyFill="1" applyBorder="1" applyAlignment="1" applyProtection="1">
      <alignment horizontal="center" vertical="top"/>
    </xf>
    <xf numFmtId="0" fontId="14" fillId="13" borderId="86" xfId="3" applyFont="1" applyFill="1" applyBorder="1" applyAlignment="1" applyProtection="1">
      <alignment horizontal="center" vertical="top"/>
    </xf>
    <xf numFmtId="0" fontId="11" fillId="0" borderId="120" xfId="3" applyFont="1" applyBorder="1" applyAlignment="1" applyProtection="1">
      <alignment horizontal="left"/>
      <protection locked="0"/>
    </xf>
    <xf numFmtId="0" fontId="11" fillId="0" borderId="121" xfId="3" applyFont="1" applyBorder="1" applyAlignment="1" applyProtection="1">
      <alignment horizontal="left"/>
      <protection locked="0"/>
    </xf>
    <xf numFmtId="0" fontId="38" fillId="13" borderId="88" xfId="3" applyFont="1" applyFill="1" applyBorder="1" applyAlignment="1" applyProtection="1">
      <alignment horizontal="center"/>
    </xf>
    <xf numFmtId="0" fontId="38" fillId="13" borderId="51" xfId="3" applyFont="1" applyFill="1" applyBorder="1" applyAlignment="1" applyProtection="1">
      <alignment horizontal="center"/>
    </xf>
    <xf numFmtId="0" fontId="38" fillId="13" borderId="91" xfId="3" applyFont="1" applyFill="1" applyBorder="1" applyAlignment="1" applyProtection="1">
      <alignment horizontal="center"/>
    </xf>
    <xf numFmtId="0" fontId="14" fillId="13" borderId="87" xfId="3" applyFont="1" applyFill="1" applyBorder="1" applyAlignment="1" applyProtection="1">
      <alignment horizontal="center"/>
    </xf>
    <xf numFmtId="0" fontId="14" fillId="13" borderId="0" xfId="3" applyFont="1" applyFill="1" applyBorder="1" applyAlignment="1" applyProtection="1">
      <alignment horizontal="center"/>
    </xf>
    <xf numFmtId="0" fontId="14" fillId="13" borderId="90" xfId="3" applyFont="1" applyFill="1" applyBorder="1" applyAlignment="1" applyProtection="1">
      <alignment horizontal="center"/>
    </xf>
    <xf numFmtId="0" fontId="2" fillId="0" borderId="89" xfId="3" applyFont="1" applyBorder="1" applyAlignment="1" applyProtection="1">
      <alignment horizontal="left"/>
      <protection locked="0"/>
    </xf>
    <xf numFmtId="0" fontId="54" fillId="3" borderId="89" xfId="3" applyFont="1" applyFill="1" applyBorder="1" applyAlignment="1" applyProtection="1">
      <alignment horizontal="left"/>
    </xf>
    <xf numFmtId="0" fontId="54" fillId="3" borderId="60" xfId="3" applyFont="1" applyFill="1" applyBorder="1" applyAlignment="1" applyProtection="1">
      <alignment horizontal="left"/>
    </xf>
    <xf numFmtId="0" fontId="39" fillId="0" borderId="89" xfId="3" applyFont="1" applyBorder="1" applyAlignment="1" applyProtection="1">
      <alignment horizontal="left"/>
      <protection locked="0"/>
    </xf>
    <xf numFmtId="0" fontId="39" fillId="0" borderId="60" xfId="3" applyFont="1" applyBorder="1" applyAlignment="1" applyProtection="1">
      <alignment horizontal="left"/>
      <protection locked="0"/>
    </xf>
    <xf numFmtId="0" fontId="14" fillId="13" borderId="73" xfId="3" applyFont="1" applyFill="1" applyBorder="1" applyAlignment="1" applyProtection="1">
      <alignment horizontal="center" vertical="center" wrapText="1"/>
    </xf>
    <xf numFmtId="0" fontId="14" fillId="13" borderId="63" xfId="3" applyFont="1" applyFill="1" applyBorder="1" applyAlignment="1" applyProtection="1">
      <alignment horizontal="center" vertical="center" wrapText="1"/>
    </xf>
    <xf numFmtId="0" fontId="44" fillId="4" borderId="4" xfId="3" applyFont="1" applyFill="1" applyBorder="1" applyAlignment="1" applyProtection="1">
      <alignment horizontal="left" vertical="center" wrapText="1"/>
    </xf>
    <xf numFmtId="0" fontId="44" fillId="4" borderId="31" xfId="3" applyFont="1" applyFill="1" applyBorder="1" applyAlignment="1" applyProtection="1">
      <alignment horizontal="left" vertical="center" wrapText="1"/>
    </xf>
    <xf numFmtId="0" fontId="11" fillId="0" borderId="16" xfId="3" applyFont="1" applyFill="1" applyBorder="1" applyAlignment="1" applyProtection="1">
      <alignment horizontal="left" vertical="center" wrapText="1"/>
    </xf>
    <xf numFmtId="0" fontId="11" fillId="0" borderId="17" xfId="3" applyFont="1" applyFill="1" applyBorder="1" applyAlignment="1" applyProtection="1">
      <alignment horizontal="left" vertical="center" wrapText="1"/>
    </xf>
    <xf numFmtId="0" fontId="14" fillId="13" borderId="84" xfId="3" applyFont="1" applyFill="1" applyBorder="1" applyAlignment="1" applyProtection="1">
      <alignment horizontal="center" vertical="center"/>
    </xf>
    <xf numFmtId="0" fontId="14" fillId="13" borderId="85" xfId="3" applyFont="1" applyFill="1" applyBorder="1" applyAlignment="1" applyProtection="1">
      <alignment horizontal="center" vertical="center"/>
    </xf>
    <xf numFmtId="0" fontId="14" fillId="13" borderId="86" xfId="3" applyFont="1" applyFill="1" applyBorder="1" applyAlignment="1" applyProtection="1">
      <alignment horizontal="center" vertical="center"/>
    </xf>
    <xf numFmtId="0" fontId="14" fillId="13" borderId="73" xfId="3" applyFont="1" applyFill="1" applyBorder="1" applyAlignment="1" applyProtection="1">
      <alignment horizontal="center"/>
    </xf>
    <xf numFmtId="0" fontId="11" fillId="0" borderId="89" xfId="3" applyFont="1" applyBorder="1" applyAlignment="1" applyProtection="1">
      <alignment horizontal="left" vertical="center"/>
      <protection locked="0"/>
    </xf>
    <xf numFmtId="0" fontId="11" fillId="0" borderId="52" xfId="3" applyFont="1" applyBorder="1" applyAlignment="1" applyProtection="1">
      <alignment horizontal="left" vertical="center"/>
      <protection locked="0"/>
    </xf>
    <xf numFmtId="0" fontId="11" fillId="0" borderId="60" xfId="3" applyFont="1" applyBorder="1" applyAlignment="1" applyProtection="1">
      <alignment horizontal="left" vertical="center"/>
      <protection locked="0"/>
    </xf>
    <xf numFmtId="0" fontId="44" fillId="4" borderId="54" xfId="3" applyFont="1" applyFill="1" applyBorder="1" applyAlignment="1" applyProtection="1">
      <alignment horizontal="left" vertical="top" wrapText="1"/>
    </xf>
    <xf numFmtId="0" fontId="44" fillId="4" borderId="80" xfId="3" applyFont="1" applyFill="1" applyBorder="1" applyAlignment="1" applyProtection="1">
      <alignment horizontal="left" vertical="top" wrapText="1"/>
    </xf>
    <xf numFmtId="0" fontId="46" fillId="17" borderId="6" xfId="3" applyFont="1" applyFill="1" applyBorder="1" applyAlignment="1" applyProtection="1">
      <alignment horizontal="left" wrapText="1"/>
    </xf>
    <xf numFmtId="0" fontId="46" fillId="17" borderId="7" xfId="3" applyFont="1" applyFill="1" applyBorder="1" applyAlignment="1" applyProtection="1">
      <alignment horizontal="left" wrapText="1"/>
    </xf>
    <xf numFmtId="0" fontId="2" fillId="0" borderId="89" xfId="3" applyFont="1" applyBorder="1" applyAlignment="1" applyProtection="1">
      <alignment horizontal="left" vertical="center"/>
      <protection locked="0"/>
    </xf>
    <xf numFmtId="0" fontId="71" fillId="3" borderId="89" xfId="3" applyFont="1" applyFill="1" applyBorder="1" applyAlignment="1" applyProtection="1">
      <alignment horizontal="left" vertical="center"/>
    </xf>
    <xf numFmtId="0" fontId="71" fillId="3" borderId="52" xfId="3" applyFont="1" applyFill="1" applyBorder="1" applyAlignment="1" applyProtection="1">
      <alignment horizontal="left" vertical="center"/>
    </xf>
    <xf numFmtId="0" fontId="71" fillId="3" borderId="60" xfId="3" applyFont="1" applyFill="1" applyBorder="1" applyAlignment="1" applyProtection="1">
      <alignment horizontal="left" vertical="center"/>
    </xf>
    <xf numFmtId="0" fontId="14" fillId="13" borderId="93" xfId="3" applyFont="1" applyFill="1" applyBorder="1" applyAlignment="1" applyProtection="1">
      <alignment horizontal="center"/>
    </xf>
    <xf numFmtId="0" fontId="14" fillId="13" borderId="4" xfId="3" applyFont="1" applyFill="1" applyBorder="1" applyAlignment="1" applyProtection="1">
      <alignment horizontal="center"/>
    </xf>
    <xf numFmtId="0" fontId="14" fillId="13" borderId="94" xfId="3" applyFont="1" applyFill="1" applyBorder="1" applyAlignment="1" applyProtection="1">
      <alignment horizontal="center"/>
    </xf>
    <xf numFmtId="0" fontId="2" fillId="0" borderId="89" xfId="3" applyFont="1" applyFill="1" applyBorder="1" applyAlignment="1" applyProtection="1">
      <alignment horizontal="left"/>
      <protection locked="0"/>
    </xf>
    <xf numFmtId="0" fontId="11" fillId="0" borderId="52" xfId="3" applyFont="1" applyFill="1" applyBorder="1" applyAlignment="1" applyProtection="1">
      <alignment horizontal="left"/>
      <protection locked="0"/>
    </xf>
    <xf numFmtId="0" fontId="11" fillId="0" borderId="60" xfId="3" applyFont="1" applyFill="1" applyBorder="1" applyAlignment="1" applyProtection="1">
      <alignment horizontal="left"/>
      <protection locked="0"/>
    </xf>
    <xf numFmtId="0" fontId="11" fillId="0" borderId="89" xfId="3" applyFont="1" applyFill="1" applyBorder="1" applyAlignment="1" applyProtection="1">
      <alignment horizontal="left"/>
      <protection locked="0"/>
    </xf>
    <xf numFmtId="0" fontId="14" fillId="13" borderId="84" xfId="3" applyFont="1" applyFill="1" applyBorder="1" applyAlignment="1" applyProtection="1">
      <alignment horizontal="center"/>
    </xf>
    <xf numFmtId="0" fontId="14" fillId="13" borderId="85" xfId="3" applyFont="1" applyFill="1" applyBorder="1" applyAlignment="1" applyProtection="1">
      <alignment horizontal="center"/>
    </xf>
    <xf numFmtId="0" fontId="14" fillId="13" borderId="86" xfId="3" applyFont="1" applyFill="1" applyBorder="1" applyAlignment="1" applyProtection="1">
      <alignment horizontal="center"/>
    </xf>
    <xf numFmtId="0" fontId="2" fillId="0" borderId="159" xfId="3" applyFont="1" applyFill="1" applyBorder="1" applyAlignment="1" applyProtection="1">
      <alignment horizontal="left"/>
      <protection locked="0"/>
    </xf>
    <xf numFmtId="0" fontId="11" fillId="0" borderId="112" xfId="3" applyFont="1" applyFill="1" applyBorder="1" applyAlignment="1" applyProtection="1">
      <alignment horizontal="left"/>
      <protection locked="0"/>
    </xf>
    <xf numFmtId="0" fontId="11" fillId="0" borderId="160" xfId="3" applyFont="1" applyFill="1" applyBorder="1" applyAlignment="1" applyProtection="1">
      <alignment horizontal="left"/>
      <protection locked="0"/>
    </xf>
    <xf numFmtId="0" fontId="11" fillId="0" borderId="120" xfId="3" applyFont="1" applyFill="1" applyBorder="1" applyAlignment="1" applyProtection="1">
      <alignment horizontal="left"/>
      <protection locked="0"/>
    </xf>
    <xf numFmtId="0" fontId="11" fillId="0" borderId="163" xfId="3" applyFont="1" applyFill="1" applyBorder="1" applyAlignment="1" applyProtection="1">
      <alignment horizontal="left"/>
      <protection locked="0"/>
    </xf>
    <xf numFmtId="0" fontId="11" fillId="0" borderId="121" xfId="3" applyFont="1" applyFill="1" applyBorder="1" applyAlignment="1" applyProtection="1">
      <alignment horizontal="left"/>
      <protection locked="0"/>
    </xf>
    <xf numFmtId="0" fontId="38" fillId="13" borderId="88" xfId="3" applyFont="1" applyFill="1" applyBorder="1" applyAlignment="1" applyProtection="1">
      <alignment horizontal="center" vertical="top"/>
    </xf>
    <xf numFmtId="0" fontId="38" fillId="13" borderId="91" xfId="3" applyFont="1" applyFill="1" applyBorder="1" applyAlignment="1" applyProtection="1">
      <alignment horizontal="center" vertical="top"/>
    </xf>
    <xf numFmtId="0" fontId="11" fillId="0" borderId="163" xfId="3" applyFont="1" applyBorder="1" applyAlignment="1" applyProtection="1">
      <alignment horizontal="left"/>
      <protection locked="0"/>
    </xf>
    <xf numFmtId="0" fontId="54" fillId="3" borderId="52" xfId="3" applyFont="1" applyFill="1" applyBorder="1" applyAlignment="1" applyProtection="1">
      <alignment horizontal="left"/>
    </xf>
    <xf numFmtId="0" fontId="14" fillId="13" borderId="87" xfId="3" applyFont="1" applyFill="1" applyBorder="1" applyAlignment="1" applyProtection="1">
      <alignment horizontal="center" vertical="top"/>
    </xf>
    <xf numFmtId="0" fontId="14" fillId="13" borderId="90" xfId="3" applyFont="1" applyFill="1" applyBorder="1" applyAlignment="1" applyProtection="1">
      <alignment horizontal="center" vertical="top"/>
    </xf>
    <xf numFmtId="0" fontId="44" fillId="0" borderId="0" xfId="3" applyFont="1" applyFill="1" applyBorder="1" applyAlignment="1" applyProtection="1">
      <alignment horizontal="center" vertical="center"/>
    </xf>
    <xf numFmtId="0" fontId="46" fillId="5" borderId="5" xfId="3" applyFont="1" applyFill="1" applyBorder="1" applyAlignment="1" applyProtection="1">
      <alignment horizontal="center"/>
    </xf>
    <xf numFmtId="0" fontId="46" fillId="5" borderId="6" xfId="3" applyFont="1" applyFill="1" applyBorder="1" applyAlignment="1" applyProtection="1">
      <alignment horizontal="center"/>
    </xf>
    <xf numFmtId="0" fontId="46" fillId="5" borderId="7" xfId="3" applyFont="1" applyFill="1" applyBorder="1" applyAlignment="1" applyProtection="1">
      <alignment horizontal="center"/>
    </xf>
    <xf numFmtId="0" fontId="44" fillId="0" borderId="56" xfId="3" applyFont="1" applyBorder="1" applyAlignment="1" applyProtection="1">
      <alignment horizontal="center" vertical="center"/>
    </xf>
    <xf numFmtId="0" fontId="11" fillId="0" borderId="75" xfId="3" applyFont="1" applyBorder="1" applyAlignment="1" applyProtection="1">
      <alignment horizontal="center" vertical="center"/>
    </xf>
    <xf numFmtId="0" fontId="11" fillId="0" borderId="61" xfId="3" applyFont="1" applyBorder="1" applyAlignment="1" applyProtection="1">
      <alignment horizontal="left" vertical="top" wrapText="1"/>
    </xf>
    <xf numFmtId="0" fontId="11" fillId="0" borderId="66" xfId="3" applyFont="1" applyBorder="1" applyAlignment="1" applyProtection="1">
      <alignment horizontal="center" vertical="center" wrapText="1"/>
    </xf>
    <xf numFmtId="0" fontId="11" fillId="0" borderId="76" xfId="3" applyFont="1" applyBorder="1" applyAlignment="1" applyProtection="1">
      <alignment horizontal="center" vertical="center" wrapText="1"/>
    </xf>
    <xf numFmtId="0" fontId="54" fillId="3" borderId="89" xfId="3" applyFont="1" applyFill="1" applyBorder="1" applyAlignment="1" applyProtection="1">
      <alignment horizontal="left" vertical="center"/>
    </xf>
    <xf numFmtId="0" fontId="54" fillId="3" borderId="52" xfId="3" applyFont="1" applyFill="1" applyBorder="1" applyAlignment="1" applyProtection="1">
      <alignment horizontal="left" vertical="center"/>
    </xf>
    <xf numFmtId="0" fontId="54" fillId="3" borderId="60" xfId="3" applyFont="1" applyFill="1" applyBorder="1" applyAlignment="1" applyProtection="1">
      <alignment horizontal="left" vertical="center"/>
    </xf>
    <xf numFmtId="0" fontId="11" fillId="0" borderId="61" xfId="3" applyFont="1" applyFill="1" applyBorder="1" applyAlignment="1" applyProtection="1">
      <alignment horizontal="left" vertical="top" wrapText="1"/>
    </xf>
    <xf numFmtId="0" fontId="2" fillId="0" borderId="157" xfId="3" applyFont="1" applyBorder="1" applyAlignment="1" applyProtection="1">
      <alignment horizontal="left" vertical="top" wrapText="1"/>
    </xf>
    <xf numFmtId="0" fontId="11" fillId="0" borderId="157" xfId="3" applyFont="1" applyBorder="1" applyAlignment="1" applyProtection="1">
      <alignment horizontal="left" vertical="top" wrapText="1"/>
    </xf>
    <xf numFmtId="0" fontId="44" fillId="0" borderId="5" xfId="3" applyFont="1" applyBorder="1" applyAlignment="1" applyProtection="1">
      <alignment horizontal="right" vertical="center" wrapText="1"/>
    </xf>
    <xf numFmtId="0" fontId="44" fillId="0" borderId="6" xfId="3" applyFont="1" applyBorder="1" applyAlignment="1" applyProtection="1">
      <alignment horizontal="right" vertical="center" wrapText="1"/>
    </xf>
    <xf numFmtId="0" fontId="44" fillId="0" borderId="7" xfId="3" applyFont="1" applyBorder="1" applyAlignment="1" applyProtection="1">
      <alignment horizontal="right" vertical="center" wrapText="1"/>
    </xf>
    <xf numFmtId="0" fontId="11" fillId="0" borderId="64" xfId="3" applyFont="1" applyBorder="1" applyAlignment="1" applyProtection="1">
      <alignment horizontal="center" vertical="center" wrapText="1"/>
    </xf>
    <xf numFmtId="0" fontId="11" fillId="0" borderId="77" xfId="3" applyFont="1" applyBorder="1" applyAlignment="1" applyProtection="1">
      <alignment horizontal="center" vertical="center"/>
    </xf>
    <xf numFmtId="0" fontId="11" fillId="0" borderId="78" xfId="3" applyFont="1" applyBorder="1" applyAlignment="1" applyProtection="1">
      <alignment horizontal="center" vertical="center"/>
    </xf>
    <xf numFmtId="0" fontId="2" fillId="0" borderId="61" xfId="3" applyFont="1" applyBorder="1" applyAlignment="1" applyProtection="1">
      <alignment horizontal="left" vertical="top" wrapText="1"/>
    </xf>
    <xf numFmtId="0" fontId="40" fillId="0" borderId="0" xfId="3" applyFont="1" applyAlignment="1" applyProtection="1">
      <alignment horizontal="center"/>
    </xf>
    <xf numFmtId="0" fontId="2" fillId="0" borderId="89" xfId="10" applyFont="1" applyBorder="1" applyAlignment="1" applyProtection="1">
      <alignment horizontal="left" vertical="center" wrapText="1"/>
      <protection locked="0"/>
    </xf>
    <xf numFmtId="0" fontId="2" fillId="0" borderId="52" xfId="10" applyFont="1" applyBorder="1" applyAlignment="1" applyProtection="1">
      <alignment horizontal="left" vertical="center" wrapText="1"/>
      <protection locked="0"/>
    </xf>
    <xf numFmtId="0" fontId="2" fillId="0" borderId="60" xfId="10" applyFont="1" applyBorder="1" applyAlignment="1" applyProtection="1">
      <alignment horizontal="left" vertical="center" wrapText="1"/>
      <protection locked="0"/>
    </xf>
    <xf numFmtId="2" fontId="87" fillId="0" borderId="58" xfId="10" applyNumberFormat="1" applyFont="1" applyFill="1" applyBorder="1" applyAlignment="1" applyProtection="1">
      <alignment horizontal="left" vertical="center"/>
      <protection locked="0"/>
    </xf>
    <xf numFmtId="2" fontId="87" fillId="0" borderId="52" xfId="10" applyNumberFormat="1" applyFont="1" applyFill="1" applyBorder="1" applyAlignment="1" applyProtection="1">
      <alignment horizontal="left" vertical="center"/>
      <protection locked="0"/>
    </xf>
    <xf numFmtId="2" fontId="87" fillId="0" borderId="65" xfId="10" applyNumberFormat="1" applyFont="1" applyFill="1" applyBorder="1" applyAlignment="1" applyProtection="1">
      <alignment horizontal="left" vertical="center"/>
      <protection locked="0"/>
    </xf>
    <xf numFmtId="2" fontId="87" fillId="0" borderId="85" xfId="10" applyNumberFormat="1" applyFont="1" applyFill="1" applyBorder="1" applyAlignment="1" applyProtection="1">
      <alignment horizontal="left" vertical="center"/>
      <protection locked="0"/>
    </xf>
    <xf numFmtId="0" fontId="53" fillId="3" borderId="89" xfId="10" applyFont="1" applyFill="1" applyBorder="1" applyAlignment="1" applyProtection="1">
      <alignment horizontal="left" vertical="center"/>
    </xf>
    <xf numFmtId="0" fontId="53" fillId="3" borderId="52" xfId="10" applyFont="1" applyFill="1" applyBorder="1" applyAlignment="1" applyProtection="1">
      <alignment horizontal="left" vertical="center"/>
    </xf>
    <xf numFmtId="0" fontId="53" fillId="3" borderId="60" xfId="10" applyFont="1" applyFill="1" applyBorder="1" applyAlignment="1" applyProtection="1">
      <alignment horizontal="left" vertical="center"/>
    </xf>
    <xf numFmtId="0" fontId="14" fillId="13" borderId="84" xfId="10" applyFont="1" applyFill="1" applyBorder="1" applyAlignment="1" applyProtection="1">
      <alignment horizontal="center"/>
    </xf>
    <xf numFmtId="0" fontId="14" fillId="13" borderId="85" xfId="10" applyFont="1" applyFill="1" applyBorder="1" applyAlignment="1" applyProtection="1">
      <alignment horizontal="center"/>
    </xf>
    <xf numFmtId="0" fontId="14" fillId="13" borderId="86" xfId="10" applyFont="1" applyFill="1" applyBorder="1" applyAlignment="1" applyProtection="1">
      <alignment horizontal="center"/>
    </xf>
    <xf numFmtId="0" fontId="14" fillId="13" borderId="65" xfId="10" applyFont="1" applyFill="1" applyBorder="1" applyAlignment="1" applyProtection="1">
      <alignment horizontal="center"/>
    </xf>
    <xf numFmtId="0" fontId="39" fillId="13" borderId="12" xfId="10" applyFont="1" applyFill="1" applyBorder="1" applyAlignment="1" applyProtection="1">
      <alignment horizontal="center"/>
    </xf>
    <xf numFmtId="0" fontId="39" fillId="13" borderId="0" xfId="10" applyFont="1" applyFill="1" applyBorder="1" applyAlignment="1" applyProtection="1">
      <alignment horizontal="center"/>
    </xf>
    <xf numFmtId="0" fontId="29" fillId="13" borderId="51" xfId="10" applyFont="1" applyFill="1" applyBorder="1" applyAlignment="1" applyProtection="1">
      <alignment horizontal="center" vertical="center" wrapText="1"/>
    </xf>
    <xf numFmtId="0" fontId="105" fillId="3" borderId="58" xfId="10" applyFont="1" applyFill="1" applyBorder="1" applyAlignment="1" applyProtection="1">
      <alignment horizontal="left" vertical="center" wrapText="1"/>
    </xf>
    <xf numFmtId="0" fontId="105" fillId="3" borderId="52" xfId="10" applyFont="1" applyFill="1" applyBorder="1" applyAlignment="1" applyProtection="1">
      <alignment horizontal="left" vertical="center" wrapText="1"/>
    </xf>
    <xf numFmtId="0" fontId="44" fillId="4" borderId="53" xfId="11" applyFont="1" applyFill="1" applyBorder="1" applyAlignment="1" applyProtection="1">
      <alignment horizontal="left" vertical="center"/>
    </xf>
    <xf numFmtId="0" fontId="44" fillId="4" borderId="54" xfId="11" applyFont="1" applyFill="1" applyBorder="1" applyAlignment="1" applyProtection="1">
      <alignment horizontal="left" vertical="center"/>
    </xf>
    <xf numFmtId="0" fontId="44" fillId="4" borderId="80" xfId="11" applyFont="1" applyFill="1" applyBorder="1" applyAlignment="1" applyProtection="1">
      <alignment horizontal="left" vertical="center"/>
    </xf>
    <xf numFmtId="2" fontId="87" fillId="0" borderId="89" xfId="10" applyNumberFormat="1" applyFont="1" applyFill="1" applyBorder="1" applyAlignment="1" applyProtection="1">
      <alignment horizontal="left" vertical="center"/>
      <protection locked="0"/>
    </xf>
    <xf numFmtId="2" fontId="87" fillId="0" borderId="60" xfId="10" applyNumberFormat="1" applyFont="1" applyFill="1" applyBorder="1" applyAlignment="1" applyProtection="1">
      <alignment horizontal="left" vertical="center"/>
      <protection locked="0"/>
    </xf>
    <xf numFmtId="2" fontId="28" fillId="12" borderId="125" xfId="10" applyNumberFormat="1" applyFont="1" applyFill="1" applyBorder="1" applyAlignment="1" applyProtection="1">
      <alignment horizontal="center"/>
    </xf>
    <xf numFmtId="2" fontId="28" fillId="12" borderId="70" xfId="10" applyNumberFormat="1" applyFont="1" applyFill="1" applyBorder="1" applyAlignment="1" applyProtection="1">
      <alignment horizontal="center"/>
    </xf>
    <xf numFmtId="0" fontId="2" fillId="0" borderId="89" xfId="10" applyFont="1" applyFill="1" applyBorder="1" applyAlignment="1" applyProtection="1">
      <alignment horizontal="center"/>
      <protection locked="0"/>
    </xf>
    <xf numFmtId="0" fontId="2" fillId="0" borderId="59" xfId="10" applyFont="1" applyFill="1" applyBorder="1" applyAlignment="1" applyProtection="1">
      <alignment horizontal="center"/>
      <protection locked="0"/>
    </xf>
    <xf numFmtId="2" fontId="56" fillId="18" borderId="58" xfId="10" applyNumberFormat="1" applyFont="1" applyFill="1" applyBorder="1" applyAlignment="1" applyProtection="1">
      <alignment horizontal="left" vertical="center"/>
    </xf>
    <xf numFmtId="2" fontId="56" fillId="18" borderId="60" xfId="10" applyNumberFormat="1" applyFont="1" applyFill="1" applyBorder="1" applyAlignment="1" applyProtection="1">
      <alignment horizontal="left" vertical="center"/>
    </xf>
    <xf numFmtId="0" fontId="44" fillId="4" borderId="53" xfId="11" applyFont="1" applyFill="1" applyBorder="1" applyAlignment="1" applyProtection="1">
      <alignment horizontal="center" vertical="center"/>
    </xf>
    <xf numFmtId="0" fontId="44" fillId="4" borderId="54" xfId="11" applyFont="1" applyFill="1" applyBorder="1" applyAlignment="1" applyProtection="1">
      <alignment horizontal="center" vertical="center"/>
    </xf>
    <xf numFmtId="0" fontId="44" fillId="4" borderId="80" xfId="11" applyFont="1" applyFill="1" applyBorder="1" applyAlignment="1" applyProtection="1">
      <alignment horizontal="center" vertical="center"/>
    </xf>
    <xf numFmtId="0" fontId="2" fillId="0" borderId="89" xfId="10" applyFont="1" applyBorder="1" applyAlignment="1" applyProtection="1">
      <alignment horizontal="left"/>
      <protection locked="0"/>
    </xf>
    <xf numFmtId="0" fontId="2" fillId="0" borderId="60" xfId="10" applyFont="1" applyBorder="1" applyAlignment="1" applyProtection="1">
      <alignment horizontal="left"/>
      <protection locked="0"/>
    </xf>
    <xf numFmtId="0" fontId="14" fillId="13" borderId="73" xfId="10" applyFont="1" applyFill="1" applyBorder="1" applyAlignment="1" applyProtection="1">
      <alignment horizontal="center" vertical="center" wrapText="1"/>
    </xf>
    <xf numFmtId="0" fontId="14" fillId="13" borderId="63" xfId="10" applyFont="1" applyFill="1" applyBorder="1" applyAlignment="1" applyProtection="1">
      <alignment horizontal="center" vertical="center" wrapText="1"/>
    </xf>
    <xf numFmtId="188" fontId="56" fillId="0" borderId="58" xfId="10" applyNumberFormat="1" applyFont="1" applyBorder="1" applyAlignment="1" applyProtection="1">
      <alignment horizontal="center"/>
    </xf>
    <xf numFmtId="188" fontId="56" fillId="0" borderId="52" xfId="10" applyNumberFormat="1" applyFont="1" applyBorder="1" applyAlignment="1" applyProtection="1">
      <alignment horizontal="center"/>
    </xf>
    <xf numFmtId="188" fontId="56" fillId="0" borderId="59" xfId="10" applyNumberFormat="1" applyFont="1" applyBorder="1" applyAlignment="1" applyProtection="1">
      <alignment horizontal="center"/>
    </xf>
    <xf numFmtId="0" fontId="39" fillId="13" borderId="88" xfId="1" applyFont="1" applyFill="1" applyBorder="1" applyAlignment="1" applyProtection="1">
      <alignment horizontal="center"/>
    </xf>
    <xf numFmtId="0" fontId="39" fillId="13" borderId="51" xfId="1" applyFont="1" applyFill="1" applyBorder="1" applyAlignment="1" applyProtection="1">
      <alignment horizontal="center"/>
    </xf>
    <xf numFmtId="0" fontId="39" fillId="13" borderId="100" xfId="1" applyFont="1" applyFill="1" applyBorder="1" applyAlignment="1" applyProtection="1">
      <alignment horizontal="center"/>
    </xf>
    <xf numFmtId="0" fontId="14" fillId="13" borderId="84" xfId="10" applyFont="1" applyFill="1" applyBorder="1" applyAlignment="1" applyProtection="1">
      <alignment horizontal="center" vertical="center" wrapText="1"/>
    </xf>
    <xf numFmtId="0" fontId="14" fillId="13" borderId="85" xfId="10" applyFont="1" applyFill="1" applyBorder="1" applyAlignment="1" applyProtection="1">
      <alignment horizontal="center" vertical="center" wrapText="1"/>
    </xf>
    <xf numFmtId="0" fontId="14" fillId="13" borderId="106" xfId="10" applyFont="1" applyFill="1" applyBorder="1" applyAlignment="1" applyProtection="1">
      <alignment horizontal="center" vertical="center" wrapText="1"/>
    </xf>
    <xf numFmtId="188" fontId="2" fillId="0" borderId="88" xfId="1" applyNumberFormat="1" applyFont="1" applyFill="1" applyBorder="1" applyAlignment="1" applyProtection="1">
      <alignment horizontal="left"/>
      <protection locked="0"/>
    </xf>
    <xf numFmtId="188" fontId="2" fillId="0" borderId="51" xfId="1" applyNumberFormat="1" applyFont="1" applyFill="1" applyBorder="1" applyAlignment="1" applyProtection="1">
      <alignment horizontal="left"/>
      <protection locked="0"/>
    </xf>
    <xf numFmtId="188" fontId="2" fillId="0" borderId="100" xfId="1" applyNumberFormat="1" applyFont="1" applyFill="1" applyBorder="1" applyAlignment="1" applyProtection="1">
      <alignment horizontal="left"/>
      <protection locked="0"/>
    </xf>
    <xf numFmtId="188" fontId="2" fillId="0" borderId="89" xfId="1" applyNumberFormat="1" applyFont="1" applyFill="1" applyBorder="1" applyAlignment="1" applyProtection="1">
      <alignment horizontal="left"/>
      <protection locked="0"/>
    </xf>
    <xf numFmtId="188" fontId="2" fillId="0" borderId="52" xfId="1" applyNumberFormat="1" applyFont="1" applyFill="1" applyBorder="1" applyAlignment="1" applyProtection="1">
      <alignment horizontal="left"/>
      <protection locked="0"/>
    </xf>
    <xf numFmtId="188" fontId="2" fillId="0" borderId="59" xfId="1" applyNumberFormat="1" applyFont="1" applyFill="1" applyBorder="1" applyAlignment="1" applyProtection="1">
      <alignment horizontal="left"/>
      <protection locked="0"/>
    </xf>
    <xf numFmtId="0" fontId="2" fillId="0" borderId="89" xfId="10" applyFont="1" applyBorder="1" applyAlignment="1" applyProtection="1">
      <alignment horizontal="left" vertical="center"/>
      <protection locked="0"/>
    </xf>
    <xf numFmtId="0" fontId="2" fillId="0" borderId="52" xfId="10" applyFont="1" applyBorder="1" applyAlignment="1" applyProtection="1">
      <alignment horizontal="left" vertical="center"/>
      <protection locked="0"/>
    </xf>
    <xf numFmtId="0" fontId="2" fillId="0" borderId="60" xfId="10" applyFont="1" applyBorder="1" applyAlignment="1" applyProtection="1">
      <alignment horizontal="left" vertical="center"/>
      <protection locked="0"/>
    </xf>
    <xf numFmtId="0" fontId="14" fillId="13" borderId="93" xfId="10" applyFont="1" applyFill="1" applyBorder="1" applyAlignment="1" applyProtection="1">
      <alignment horizontal="center"/>
    </xf>
    <xf numFmtId="0" fontId="14" fillId="13" borderId="4" xfId="10" applyFont="1" applyFill="1" applyBorder="1" applyAlignment="1" applyProtection="1">
      <alignment horizontal="center"/>
    </xf>
    <xf numFmtId="0" fontId="14" fillId="13" borderId="94" xfId="10" applyFont="1" applyFill="1" applyBorder="1" applyAlignment="1" applyProtection="1">
      <alignment horizontal="center"/>
    </xf>
    <xf numFmtId="0" fontId="14" fillId="13" borderId="93" xfId="10" applyFont="1" applyFill="1" applyBorder="1" applyAlignment="1" applyProtection="1">
      <alignment horizontal="center" vertical="center" wrapText="1"/>
    </xf>
    <xf numFmtId="0" fontId="14" fillId="13" borderId="4" xfId="10" applyFont="1" applyFill="1" applyBorder="1" applyAlignment="1" applyProtection="1">
      <alignment horizontal="center" vertical="center" wrapText="1"/>
    </xf>
    <xf numFmtId="0" fontId="14" fillId="13" borderId="31" xfId="10" applyFont="1" applyFill="1" applyBorder="1" applyAlignment="1" applyProtection="1">
      <alignment horizontal="center" vertical="center" wrapText="1"/>
    </xf>
    <xf numFmtId="0" fontId="14" fillId="0" borderId="0" xfId="10" applyFont="1" applyFill="1" applyBorder="1" applyAlignment="1" applyProtection="1">
      <alignment horizontal="center"/>
    </xf>
    <xf numFmtId="0" fontId="14" fillId="13" borderId="106" xfId="10" applyFont="1" applyFill="1" applyBorder="1" applyAlignment="1" applyProtection="1">
      <alignment horizontal="center"/>
    </xf>
    <xf numFmtId="49" fontId="53" fillId="3" borderId="89" xfId="2" applyNumberFormat="1" applyFont="1" applyFill="1" applyBorder="1" applyAlignment="1" applyProtection="1">
      <alignment horizontal="left"/>
    </xf>
    <xf numFmtId="49" fontId="53" fillId="3" borderId="60" xfId="2" applyNumberFormat="1" applyFont="1" applyFill="1" applyBorder="1" applyAlignment="1" applyProtection="1">
      <alignment horizontal="left"/>
    </xf>
    <xf numFmtId="2" fontId="55" fillId="3" borderId="58" xfId="10" applyNumberFormat="1" applyFont="1" applyFill="1" applyBorder="1" applyAlignment="1" applyProtection="1">
      <alignment horizontal="left" vertical="center"/>
    </xf>
    <xf numFmtId="2" fontId="55" fillId="3" borderId="60" xfId="10" applyNumberFormat="1" applyFont="1" applyFill="1" applyBorder="1" applyAlignment="1" applyProtection="1">
      <alignment horizontal="left" vertical="center"/>
    </xf>
    <xf numFmtId="0" fontId="44" fillId="19" borderId="53" xfId="10" applyFont="1" applyFill="1" applyBorder="1" applyAlignment="1" applyProtection="1">
      <alignment horizontal="center" vertical="center"/>
    </xf>
    <xf numFmtId="0" fontId="44" fillId="19" borderId="54" xfId="10" applyFont="1" applyFill="1" applyBorder="1" applyAlignment="1" applyProtection="1">
      <alignment horizontal="center" vertical="center"/>
    </xf>
    <xf numFmtId="0" fontId="44" fillId="19" borderId="80" xfId="10" applyFont="1" applyFill="1" applyBorder="1" applyAlignment="1" applyProtection="1">
      <alignment horizontal="center" vertical="center"/>
    </xf>
    <xf numFmtId="0" fontId="51" fillId="13" borderId="65" xfId="10" applyFont="1" applyFill="1" applyBorder="1" applyAlignment="1" applyProtection="1">
      <alignment horizontal="center" vertical="center" wrapText="1"/>
    </xf>
    <xf numFmtId="0" fontId="51" fillId="13" borderId="86" xfId="10" applyFont="1" applyFill="1" applyBorder="1" applyAlignment="1" applyProtection="1">
      <alignment horizontal="center" vertical="center" wrapText="1"/>
    </xf>
    <xf numFmtId="0" fontId="14" fillId="13" borderId="61" xfId="10" applyFont="1" applyFill="1" applyBorder="1" applyAlignment="1" applyProtection="1">
      <alignment horizontal="center"/>
    </xf>
    <xf numFmtId="0" fontId="14" fillId="13" borderId="62" xfId="10" applyFont="1" applyFill="1" applyBorder="1" applyAlignment="1" applyProtection="1">
      <alignment horizontal="center"/>
    </xf>
    <xf numFmtId="0" fontId="39" fillId="13" borderId="12" xfId="10" applyFont="1" applyFill="1" applyBorder="1" applyAlignment="1" applyProtection="1">
      <alignment horizontal="center" vertical="center" wrapText="1"/>
    </xf>
    <xf numFmtId="0" fontId="39" fillId="13" borderId="90" xfId="10" applyFont="1" applyFill="1" applyBorder="1" applyAlignment="1" applyProtection="1">
      <alignment horizontal="center" vertical="center" wrapText="1"/>
    </xf>
    <xf numFmtId="0" fontId="29" fillId="13" borderId="91" xfId="10" applyFont="1" applyFill="1" applyBorder="1" applyAlignment="1" applyProtection="1">
      <alignment horizontal="center" vertical="center" wrapText="1"/>
    </xf>
    <xf numFmtId="0" fontId="39" fillId="13" borderId="87" xfId="10" applyFont="1" applyFill="1" applyBorder="1" applyAlignment="1" applyProtection="1">
      <alignment horizontal="center"/>
    </xf>
    <xf numFmtId="0" fontId="39" fillId="13" borderId="90" xfId="10" applyFont="1" applyFill="1" applyBorder="1" applyAlignment="1" applyProtection="1">
      <alignment horizontal="center"/>
    </xf>
    <xf numFmtId="0" fontId="105" fillId="3" borderId="89" xfId="10" applyFont="1" applyFill="1" applyBorder="1" applyAlignment="1" applyProtection="1">
      <alignment horizontal="left" vertical="center" wrapText="1"/>
    </xf>
    <xf numFmtId="0" fontId="105" fillId="3" borderId="60" xfId="10" applyFont="1" applyFill="1" applyBorder="1" applyAlignment="1" applyProtection="1">
      <alignment horizontal="left" vertical="center" wrapText="1"/>
    </xf>
    <xf numFmtId="0" fontId="2" fillId="0" borderId="52" xfId="10" applyFont="1" applyBorder="1" applyAlignment="1" applyProtection="1">
      <alignment horizontal="left"/>
      <protection locked="0"/>
    </xf>
    <xf numFmtId="2" fontId="87" fillId="0" borderId="58" xfId="10" applyNumberFormat="1" applyFont="1" applyFill="1" applyBorder="1" applyAlignment="1" applyProtection="1">
      <alignment horizontal="left"/>
      <protection locked="0"/>
    </xf>
    <xf numFmtId="2" fontId="87" fillId="0" borderId="52" xfId="10" applyNumberFormat="1" applyFont="1" applyFill="1" applyBorder="1" applyAlignment="1" applyProtection="1">
      <alignment horizontal="left"/>
      <protection locked="0"/>
    </xf>
    <xf numFmtId="0" fontId="53" fillId="3" borderId="89" xfId="10" applyFont="1" applyFill="1" applyBorder="1" applyAlignment="1" applyProtection="1">
      <alignment horizontal="left" vertical="center" wrapText="1"/>
    </xf>
    <xf numFmtId="0" fontId="53" fillId="3" borderId="52" xfId="10" applyFont="1" applyFill="1" applyBorder="1" applyAlignment="1" applyProtection="1">
      <alignment horizontal="left" vertical="center" wrapText="1"/>
    </xf>
    <xf numFmtId="0" fontId="53" fillId="3" borderId="60" xfId="10" applyFont="1" applyFill="1" applyBorder="1" applyAlignment="1" applyProtection="1">
      <alignment horizontal="left" vertical="center" wrapText="1"/>
    </xf>
    <xf numFmtId="2" fontId="87" fillId="11" borderId="58" xfId="10" applyNumberFormat="1" applyFont="1" applyFill="1" applyBorder="1" applyAlignment="1" applyProtection="1">
      <alignment horizontal="left"/>
      <protection locked="0"/>
    </xf>
    <xf numFmtId="2" fontId="87" fillId="11" borderId="60" xfId="10" applyNumberFormat="1" applyFont="1" applyFill="1" applyBorder="1" applyAlignment="1" applyProtection="1">
      <alignment horizontal="left"/>
      <protection locked="0"/>
    </xf>
    <xf numFmtId="0" fontId="14" fillId="13" borderId="93" xfId="10" applyFont="1" applyFill="1" applyBorder="1" applyAlignment="1" applyProtection="1">
      <alignment horizontal="center" vertical="top"/>
    </xf>
    <xf numFmtId="0" fontId="14" fillId="13" borderId="4" xfId="10" applyFont="1" applyFill="1" applyBorder="1" applyAlignment="1" applyProtection="1">
      <alignment horizontal="center" vertical="top"/>
    </xf>
    <xf numFmtId="0" fontId="14" fillId="13" borderId="94" xfId="10" applyFont="1" applyFill="1" applyBorder="1" applyAlignment="1" applyProtection="1">
      <alignment horizontal="center" vertical="top"/>
    </xf>
    <xf numFmtId="0" fontId="14" fillId="13" borderId="87" xfId="10" applyFont="1" applyFill="1" applyBorder="1" applyAlignment="1" applyProtection="1">
      <alignment horizontal="center" vertical="top"/>
    </xf>
    <xf numFmtId="0" fontId="14" fillId="13" borderId="0" xfId="10" applyFont="1" applyFill="1" applyBorder="1" applyAlignment="1" applyProtection="1">
      <alignment horizontal="center" vertical="top"/>
    </xf>
    <xf numFmtId="0" fontId="14" fillId="13" borderId="90" xfId="10" applyFont="1" applyFill="1" applyBorder="1" applyAlignment="1" applyProtection="1">
      <alignment horizontal="center" vertical="top"/>
    </xf>
    <xf numFmtId="0" fontId="14" fillId="13" borderId="88" xfId="10" applyFont="1" applyFill="1" applyBorder="1" applyAlignment="1" applyProtection="1">
      <alignment horizontal="center" vertical="top"/>
    </xf>
    <xf numFmtId="0" fontId="14" fillId="13" borderId="51" xfId="10" applyFont="1" applyFill="1" applyBorder="1" applyAlignment="1" applyProtection="1">
      <alignment horizontal="center" vertical="top"/>
    </xf>
    <xf numFmtId="0" fontId="14" fillId="13" borderId="91" xfId="10" applyFont="1" applyFill="1" applyBorder="1" applyAlignment="1" applyProtection="1">
      <alignment horizontal="center" vertical="top"/>
    </xf>
    <xf numFmtId="2" fontId="87" fillId="11" borderId="58" xfId="10" applyNumberFormat="1" applyFont="1" applyFill="1" applyBorder="1" applyAlignment="1" applyProtection="1">
      <alignment horizontal="left" vertical="center"/>
      <protection locked="0"/>
    </xf>
    <xf numFmtId="2" fontId="87" fillId="11" borderId="60" xfId="10" applyNumberFormat="1" applyFont="1" applyFill="1" applyBorder="1" applyAlignment="1" applyProtection="1">
      <alignment horizontal="left" vertical="center"/>
      <protection locked="0"/>
    </xf>
    <xf numFmtId="2" fontId="109" fillId="3" borderId="58" xfId="10" applyNumberFormat="1" applyFont="1" applyFill="1" applyBorder="1" applyAlignment="1" applyProtection="1">
      <alignment horizontal="left" vertical="center"/>
    </xf>
    <xf numFmtId="2" fontId="109" fillId="3" borderId="60" xfId="10" applyNumberFormat="1" applyFont="1" applyFill="1" applyBorder="1" applyAlignment="1" applyProtection="1">
      <alignment horizontal="left" vertical="center"/>
    </xf>
    <xf numFmtId="0" fontId="31" fillId="13" borderId="65" xfId="10" applyFont="1" applyFill="1" applyBorder="1" applyAlignment="1" applyProtection="1">
      <alignment horizontal="center" vertical="center" wrapText="1"/>
    </xf>
    <xf numFmtId="0" fontId="31" fillId="13" borderId="86" xfId="10" applyFont="1" applyFill="1" applyBorder="1" applyAlignment="1" applyProtection="1">
      <alignment horizontal="center" vertical="center" wrapText="1"/>
    </xf>
    <xf numFmtId="2" fontId="105" fillId="3" borderId="58" xfId="10" applyNumberFormat="1" applyFont="1" applyFill="1" applyBorder="1" applyAlignment="1" applyProtection="1">
      <alignment horizontal="left" vertical="center"/>
    </xf>
    <xf numFmtId="2" fontId="105" fillId="3" borderId="60" xfId="10" applyNumberFormat="1" applyFont="1" applyFill="1" applyBorder="1" applyAlignment="1" applyProtection="1">
      <alignment horizontal="left" vertical="center"/>
    </xf>
    <xf numFmtId="2" fontId="107" fillId="18" borderId="58" xfId="10" applyNumberFormat="1" applyFont="1" applyFill="1" applyBorder="1" applyAlignment="1" applyProtection="1">
      <alignment horizontal="left"/>
    </xf>
    <xf numFmtId="2" fontId="107" fillId="18" borderId="60" xfId="10" applyNumberFormat="1" applyFont="1" applyFill="1" applyBorder="1" applyAlignment="1" applyProtection="1">
      <alignment horizontal="left"/>
    </xf>
    <xf numFmtId="2" fontId="87" fillId="0" borderId="89" xfId="10" applyNumberFormat="1" applyFont="1" applyFill="1" applyBorder="1" applyAlignment="1" applyProtection="1">
      <alignment horizontal="left" vertical="center" wrapText="1"/>
      <protection locked="0"/>
    </xf>
    <xf numFmtId="2" fontId="87" fillId="0" borderId="60" xfId="10" applyNumberFormat="1" applyFont="1" applyFill="1" applyBorder="1" applyAlignment="1" applyProtection="1">
      <alignment horizontal="left" vertical="center" wrapText="1"/>
      <protection locked="0"/>
    </xf>
    <xf numFmtId="2" fontId="106" fillId="3" borderId="58" xfId="10" applyNumberFormat="1" applyFont="1" applyFill="1" applyBorder="1" applyAlignment="1" applyProtection="1">
      <alignment horizontal="left"/>
    </xf>
    <xf numFmtId="2" fontId="106" fillId="3" borderId="60" xfId="10" applyNumberFormat="1" applyFont="1" applyFill="1" applyBorder="1" applyAlignment="1" applyProtection="1">
      <alignment horizontal="left"/>
    </xf>
    <xf numFmtId="0" fontId="105" fillId="3" borderId="89" xfId="10" applyFont="1" applyFill="1" applyBorder="1" applyAlignment="1" applyProtection="1">
      <alignment horizontal="left" wrapText="1"/>
    </xf>
    <xf numFmtId="0" fontId="105" fillId="3" borderId="60" xfId="10" applyFont="1" applyFill="1" applyBorder="1" applyAlignment="1" applyProtection="1">
      <alignment horizontal="left" wrapText="1"/>
    </xf>
    <xf numFmtId="0" fontId="2" fillId="0" borderId="89" xfId="10" applyFont="1" applyBorder="1" applyAlignment="1" applyProtection="1">
      <alignment horizontal="left" wrapText="1"/>
      <protection locked="0"/>
    </xf>
    <xf numFmtId="0" fontId="2" fillId="0" borderId="52" xfId="10" applyFont="1" applyBorder="1" applyAlignment="1" applyProtection="1">
      <alignment horizontal="left" wrapText="1"/>
      <protection locked="0"/>
    </xf>
    <xf numFmtId="0" fontId="2" fillId="0" borderId="60" xfId="10" applyFont="1" applyBorder="1" applyAlignment="1" applyProtection="1">
      <alignment horizontal="left" wrapText="1"/>
      <protection locked="0"/>
    </xf>
    <xf numFmtId="191" fontId="2" fillId="0" borderId="115" xfId="1" applyNumberFormat="1" applyFont="1" applyFill="1" applyBorder="1" applyAlignment="1" applyProtection="1">
      <alignment horizontal="center"/>
      <protection locked="0"/>
    </xf>
    <xf numFmtId="191" fontId="2" fillId="0" borderId="116" xfId="1" applyNumberFormat="1" applyFont="1" applyFill="1" applyBorder="1" applyAlignment="1" applyProtection="1">
      <alignment horizontal="center"/>
      <protection locked="0"/>
    </xf>
    <xf numFmtId="188" fontId="2" fillId="0" borderId="115" xfId="10" applyNumberFormat="1" applyFont="1" applyBorder="1" applyAlignment="1" applyProtection="1">
      <alignment horizontal="left" vertical="center"/>
      <protection locked="0"/>
    </xf>
    <xf numFmtId="188" fontId="2" fillId="0" borderId="117" xfId="10" applyNumberFormat="1" applyFont="1" applyBorder="1" applyAlignment="1" applyProtection="1">
      <alignment horizontal="left" vertical="center"/>
      <protection locked="0"/>
    </xf>
    <xf numFmtId="188" fontId="2" fillId="0" borderId="118" xfId="10" applyNumberFormat="1" applyFont="1" applyBorder="1" applyAlignment="1" applyProtection="1">
      <alignment horizontal="left" vertical="center"/>
      <protection locked="0"/>
    </xf>
    <xf numFmtId="191" fontId="2" fillId="0" borderId="120" xfId="1" applyNumberFormat="1" applyFont="1" applyFill="1" applyBorder="1" applyAlignment="1" applyProtection="1">
      <alignment horizontal="center"/>
      <protection locked="0"/>
    </xf>
    <xf numFmtId="191" fontId="2" fillId="0" borderId="121" xfId="1" applyNumberFormat="1" applyFont="1" applyFill="1" applyBorder="1" applyAlignment="1" applyProtection="1">
      <alignment horizontal="center"/>
      <protection locked="0"/>
    </xf>
    <xf numFmtId="188" fontId="2" fillId="0" borderId="122" xfId="10" applyNumberFormat="1" applyFont="1" applyBorder="1" applyAlignment="1" applyProtection="1">
      <alignment horizontal="left" vertical="center"/>
      <protection locked="0"/>
    </xf>
    <xf numFmtId="188" fontId="2" fillId="0" borderId="123" xfId="10" applyNumberFormat="1" applyFont="1" applyBorder="1" applyAlignment="1" applyProtection="1">
      <alignment horizontal="left" vertical="center"/>
      <protection locked="0"/>
    </xf>
    <xf numFmtId="188" fontId="2" fillId="0" borderId="124" xfId="10" applyNumberFormat="1" applyFont="1" applyBorder="1" applyAlignment="1" applyProtection="1">
      <alignment horizontal="left" vertical="center"/>
      <protection locked="0"/>
    </xf>
    <xf numFmtId="0" fontId="39" fillId="13" borderId="91" xfId="1" applyFont="1" applyFill="1" applyBorder="1" applyAlignment="1" applyProtection="1">
      <alignment horizontal="center"/>
    </xf>
    <xf numFmtId="188" fontId="56" fillId="0" borderId="111" xfId="10" applyNumberFormat="1" applyFont="1" applyBorder="1" applyAlignment="1" applyProtection="1">
      <alignment horizontal="center"/>
    </xf>
    <xf numFmtId="188" fontId="56" fillId="0" borderId="112" xfId="10" applyNumberFormat="1" applyFont="1" applyBorder="1" applyAlignment="1" applyProtection="1">
      <alignment horizontal="center"/>
    </xf>
    <xf numFmtId="188" fontId="56" fillId="0" borderId="113" xfId="10" applyNumberFormat="1" applyFont="1" applyBorder="1" applyAlignment="1" applyProtection="1">
      <alignment horizontal="center"/>
    </xf>
    <xf numFmtId="0" fontId="14" fillId="13" borderId="84" xfId="10" applyFont="1" applyFill="1" applyBorder="1" applyAlignment="1" applyProtection="1">
      <alignment horizontal="center" vertical="top" wrapText="1"/>
    </xf>
    <xf numFmtId="0" fontId="14" fillId="13" borderId="86" xfId="10" applyFont="1" applyFill="1" applyBorder="1" applyAlignment="1" applyProtection="1">
      <alignment horizontal="center" vertical="top" wrapText="1"/>
    </xf>
    <xf numFmtId="0" fontId="14" fillId="13" borderId="86" xfId="10" applyFont="1" applyFill="1" applyBorder="1" applyAlignment="1" applyProtection="1">
      <alignment horizontal="center" vertical="center" wrapText="1"/>
    </xf>
    <xf numFmtId="0" fontId="39" fillId="13" borderId="87" xfId="1" applyFont="1" applyFill="1" applyBorder="1" applyAlignment="1" applyProtection="1">
      <alignment horizontal="center"/>
    </xf>
    <xf numFmtId="0" fontId="39" fillId="13" borderId="0" xfId="1" applyFont="1" applyFill="1" applyBorder="1" applyAlignment="1" applyProtection="1">
      <alignment horizontal="center"/>
    </xf>
    <xf numFmtId="0" fontId="39" fillId="13" borderId="13" xfId="1" applyFont="1" applyFill="1" applyBorder="1" applyAlignment="1" applyProtection="1">
      <alignment horizontal="center"/>
    </xf>
    <xf numFmtId="0" fontId="44" fillId="19" borderId="3" xfId="10" applyFont="1" applyFill="1" applyBorder="1" applyAlignment="1" applyProtection="1">
      <alignment horizontal="center" vertical="center"/>
    </xf>
    <xf numFmtId="0" fontId="44" fillId="19" borderId="4" xfId="10" applyFont="1" applyFill="1" applyBorder="1" applyAlignment="1" applyProtection="1">
      <alignment horizontal="center" vertical="center"/>
    </xf>
    <xf numFmtId="0" fontId="44" fillId="19" borderId="31" xfId="10" applyFont="1" applyFill="1" applyBorder="1" applyAlignment="1" applyProtection="1">
      <alignment horizontal="center" vertical="center"/>
    </xf>
    <xf numFmtId="0" fontId="46" fillId="5" borderId="5" xfId="10" applyFont="1" applyFill="1" applyBorder="1" applyAlignment="1" applyProtection="1">
      <alignment horizontal="center"/>
    </xf>
    <xf numFmtId="0" fontId="46" fillId="5" borderId="6" xfId="10" applyFont="1" applyFill="1" applyBorder="1" applyAlignment="1" applyProtection="1">
      <alignment horizontal="center"/>
    </xf>
    <xf numFmtId="0" fontId="46" fillId="5" borderId="7" xfId="10" applyFont="1" applyFill="1" applyBorder="1" applyAlignment="1" applyProtection="1">
      <alignment horizontal="center"/>
    </xf>
    <xf numFmtId="0" fontId="44" fillId="0" borderId="104" xfId="10" applyFont="1" applyBorder="1" applyAlignment="1" applyProtection="1">
      <alignment horizontal="center" vertical="center"/>
    </xf>
    <xf numFmtId="0" fontId="44" fillId="0" borderId="54" xfId="10" applyFont="1" applyBorder="1" applyAlignment="1" applyProtection="1">
      <alignment horizontal="center" vertical="center"/>
    </xf>
    <xf numFmtId="0" fontId="2" fillId="0" borderId="89" xfId="10" applyFont="1" applyBorder="1" applyAlignment="1" applyProtection="1">
      <alignment horizontal="left" vertical="center" wrapText="1"/>
    </xf>
    <xf numFmtId="0" fontId="2" fillId="0" borderId="52" xfId="10" applyFont="1" applyBorder="1" applyAlignment="1" applyProtection="1">
      <alignment horizontal="left" vertical="center" wrapText="1"/>
    </xf>
    <xf numFmtId="0" fontId="2" fillId="0" borderId="60" xfId="10" applyFont="1" applyBorder="1" applyAlignment="1" applyProtection="1">
      <alignment horizontal="left" vertical="center" wrapText="1"/>
    </xf>
    <xf numFmtId="0" fontId="44" fillId="0" borderId="5" xfId="10" applyFont="1" applyBorder="1" applyAlignment="1" applyProtection="1">
      <alignment horizontal="right" vertical="center"/>
    </xf>
    <xf numFmtId="0" fontId="44" fillId="0" borderId="6" xfId="10" applyFont="1" applyBorder="1" applyAlignment="1" applyProtection="1">
      <alignment horizontal="right" vertical="center"/>
    </xf>
    <xf numFmtId="0" fontId="44" fillId="0" borderId="7" xfId="10" applyFont="1" applyBorder="1" applyAlignment="1" applyProtection="1">
      <alignment horizontal="right" vertical="center"/>
    </xf>
    <xf numFmtId="0" fontId="28" fillId="13" borderId="87" xfId="10" applyFont="1" applyFill="1" applyBorder="1" applyAlignment="1" applyProtection="1">
      <alignment horizontal="center"/>
    </xf>
    <xf numFmtId="0" fontId="28" fillId="13" borderId="0" xfId="10" applyFont="1" applyFill="1" applyBorder="1" applyAlignment="1" applyProtection="1">
      <alignment horizontal="center"/>
    </xf>
    <xf numFmtId="0" fontId="14" fillId="13" borderId="88" xfId="10" applyFont="1" applyFill="1" applyBorder="1" applyAlignment="1" applyProtection="1">
      <alignment horizontal="center" vertical="center" wrapText="1"/>
    </xf>
    <xf numFmtId="0" fontId="14" fillId="13" borderId="51" xfId="10" applyFont="1" applyFill="1" applyBorder="1" applyAlignment="1" applyProtection="1">
      <alignment horizontal="center" vertical="center" wrapText="1"/>
    </xf>
    <xf numFmtId="0" fontId="14" fillId="13" borderId="91" xfId="10" applyFont="1" applyFill="1" applyBorder="1" applyAlignment="1" applyProtection="1">
      <alignment horizontal="center" vertical="center" wrapText="1"/>
    </xf>
    <xf numFmtId="0" fontId="112" fillId="17" borderId="5" xfId="10" applyFont="1" applyFill="1" applyBorder="1" applyAlignment="1" applyProtection="1">
      <alignment horizontal="left" vertical="center" wrapText="1"/>
    </xf>
    <xf numFmtId="0" fontId="112" fillId="17" borderId="6" xfId="10" applyFont="1" applyFill="1" applyBorder="1" applyAlignment="1" applyProtection="1">
      <alignment horizontal="left" vertical="center" wrapText="1"/>
    </xf>
    <xf numFmtId="0" fontId="112" fillId="17" borderId="7" xfId="10" applyFont="1" applyFill="1" applyBorder="1" applyAlignment="1" applyProtection="1">
      <alignment horizontal="left" vertical="center" wrapText="1"/>
    </xf>
    <xf numFmtId="0" fontId="112" fillId="17" borderId="5" xfId="10" applyFont="1" applyFill="1" applyBorder="1" applyAlignment="1" applyProtection="1">
      <alignment horizontal="left" wrapText="1"/>
    </xf>
    <xf numFmtId="0" fontId="112" fillId="17" borderId="6" xfId="10" applyFont="1" applyFill="1" applyBorder="1" applyAlignment="1" applyProtection="1">
      <alignment horizontal="left" wrapText="1"/>
    </xf>
    <xf numFmtId="0" fontId="112" fillId="17" borderId="7" xfId="10" applyFont="1" applyFill="1" applyBorder="1" applyAlignment="1" applyProtection="1">
      <alignment horizontal="left" wrapText="1"/>
    </xf>
    <xf numFmtId="0" fontId="14" fillId="13" borderId="87" xfId="10" applyFont="1" applyFill="1" applyBorder="1" applyAlignment="1" applyProtection="1">
      <alignment horizontal="center" vertical="center" wrapText="1"/>
    </xf>
    <xf numFmtId="0" fontId="14" fillId="13" borderId="0" xfId="10" applyFont="1" applyFill="1" applyBorder="1" applyAlignment="1" applyProtection="1">
      <alignment horizontal="center" vertical="center" wrapText="1"/>
    </xf>
    <xf numFmtId="0" fontId="2" fillId="0" borderId="89" xfId="10" applyFont="1" applyFill="1" applyBorder="1" applyAlignment="1" applyProtection="1">
      <alignment horizontal="left"/>
      <protection locked="0"/>
    </xf>
    <xf numFmtId="0" fontId="2" fillId="0" borderId="52" xfId="10" applyFont="1" applyFill="1" applyBorder="1" applyAlignment="1" applyProtection="1">
      <alignment horizontal="left"/>
      <protection locked="0"/>
    </xf>
    <xf numFmtId="0" fontId="2" fillId="0" borderId="60" xfId="10" applyFont="1" applyFill="1" applyBorder="1" applyAlignment="1" applyProtection="1">
      <alignment horizontal="left"/>
      <protection locked="0"/>
    </xf>
    <xf numFmtId="0" fontId="14" fillId="13" borderId="90" xfId="10" applyFont="1" applyFill="1" applyBorder="1" applyAlignment="1" applyProtection="1">
      <alignment horizontal="center" vertical="center" wrapText="1"/>
    </xf>
    <xf numFmtId="0" fontId="14" fillId="13" borderId="88" xfId="10" applyFont="1" applyFill="1" applyBorder="1" applyAlignment="1" applyProtection="1">
      <alignment horizontal="left" vertical="center" wrapText="1"/>
    </xf>
    <xf numFmtId="0" fontId="14" fillId="13" borderId="91" xfId="10" applyFont="1" applyFill="1" applyBorder="1" applyAlignment="1" applyProtection="1">
      <alignment horizontal="left" vertical="center" wrapText="1"/>
    </xf>
    <xf numFmtId="0" fontId="46" fillId="17" borderId="5" xfId="10" applyFont="1" applyFill="1" applyBorder="1" applyAlignment="1" applyProtection="1">
      <alignment horizontal="left" wrapText="1"/>
    </xf>
    <xf numFmtId="0" fontId="46" fillId="17" borderId="6" xfId="10" applyFont="1" applyFill="1" applyBorder="1" applyAlignment="1" applyProtection="1">
      <alignment horizontal="left" wrapText="1"/>
    </xf>
    <xf numFmtId="0" fontId="46" fillId="17" borderId="7" xfId="10" applyFont="1" applyFill="1" applyBorder="1" applyAlignment="1" applyProtection="1">
      <alignment horizontal="left" wrapText="1"/>
    </xf>
    <xf numFmtId="0" fontId="112" fillId="17" borderId="5" xfId="10" applyFont="1" applyFill="1" applyBorder="1" applyAlignment="1" applyProtection="1">
      <alignment horizontal="left" vertical="top" wrapText="1"/>
    </xf>
    <xf numFmtId="0" fontId="112" fillId="17" borderId="6" xfId="10" applyFont="1" applyFill="1" applyBorder="1" applyAlignment="1" applyProtection="1">
      <alignment horizontal="left" vertical="top" wrapText="1"/>
    </xf>
    <xf numFmtId="0" fontId="112" fillId="17" borderId="7" xfId="10" applyFont="1" applyFill="1" applyBorder="1" applyAlignment="1" applyProtection="1">
      <alignment horizontal="left" vertical="top" wrapText="1"/>
    </xf>
    <xf numFmtId="0" fontId="44" fillId="0" borderId="56" xfId="10" applyFont="1" applyBorder="1" applyAlignment="1" applyProtection="1">
      <alignment horizontal="center" vertical="center"/>
    </xf>
    <xf numFmtId="0" fontId="2" fillId="0" borderId="73" xfId="10" applyFont="1" applyBorder="1" applyAlignment="1" applyProtection="1">
      <alignment horizontal="left" vertical="top" wrapText="1"/>
    </xf>
    <xf numFmtId="0" fontId="2" fillId="0" borderId="75" xfId="10" applyFont="1" applyBorder="1" applyAlignment="1" applyProtection="1">
      <alignment horizontal="center" vertical="center"/>
    </xf>
    <xf numFmtId="0" fontId="2" fillId="0" borderId="79" xfId="10" applyFont="1" applyBorder="1" applyAlignment="1" applyProtection="1">
      <alignment horizontal="center" vertical="center"/>
    </xf>
    <xf numFmtId="0" fontId="2" fillId="0" borderId="61" xfId="10" applyFont="1" applyBorder="1" applyAlignment="1" applyProtection="1">
      <alignment horizontal="left" vertical="top" wrapText="1"/>
    </xf>
    <xf numFmtId="0" fontId="2" fillId="0" borderId="62" xfId="10" applyFont="1" applyBorder="1" applyAlignment="1" applyProtection="1">
      <alignment horizontal="center" vertical="center" wrapText="1"/>
    </xf>
    <xf numFmtId="0" fontId="2" fillId="0" borderId="72" xfId="10" applyFont="1" applyBorder="1" applyAlignment="1" applyProtection="1">
      <alignment horizontal="center" vertical="center" wrapText="1"/>
    </xf>
    <xf numFmtId="0" fontId="2" fillId="0" borderId="71" xfId="10" applyFont="1" applyBorder="1" applyAlignment="1" applyProtection="1">
      <alignment horizontal="left" vertical="top" wrapText="1"/>
    </xf>
    <xf numFmtId="0" fontId="14" fillId="13" borderId="51" xfId="10" applyFont="1" applyFill="1" applyBorder="1" applyAlignment="1" applyProtection="1">
      <alignment horizontal="left" vertical="center" wrapText="1"/>
    </xf>
    <xf numFmtId="0" fontId="78" fillId="0" borderId="0" xfId="10" applyFont="1" applyAlignment="1" applyProtection="1">
      <alignment horizontal="left" vertical="top" wrapText="1"/>
    </xf>
    <xf numFmtId="0" fontId="14" fillId="13" borderId="140" xfId="10" applyFont="1" applyFill="1" applyBorder="1" applyAlignment="1" applyProtection="1">
      <alignment horizontal="center" vertical="center" wrapText="1"/>
    </xf>
    <xf numFmtId="0" fontId="14" fillId="13" borderId="141" xfId="1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center" vertical="top"/>
    </xf>
  </cellXfs>
  <cellStyles count="12">
    <cellStyle name="Hyperlink" xfId="11" builtinId="8"/>
    <cellStyle name="Normal 2" xfId="2" xr:uid="{00000000-0005-0000-0000-000002000000}"/>
    <cellStyle name="Normal 3" xfId="3" xr:uid="{00000000-0005-0000-0000-000003000000}"/>
    <cellStyle name="Normal 3 2" xfId="10" xr:uid="{00000000-0005-0000-0000-000004000000}"/>
    <cellStyle name="Normal 4" xfId="4" xr:uid="{00000000-0005-0000-0000-000005000000}"/>
    <cellStyle name="Normal 4 2" xfId="5" xr:uid="{00000000-0005-0000-0000-000006000000}"/>
    <cellStyle name="Normal 5" xfId="6" xr:uid="{00000000-0005-0000-0000-000007000000}"/>
    <cellStyle name="Normal 6" xfId="7" xr:uid="{00000000-0005-0000-0000-000008000000}"/>
    <cellStyle name="Normal 7" xfId="8" xr:uid="{00000000-0005-0000-0000-000009000000}"/>
    <cellStyle name="ปกติ" xfId="0" builtinId="0"/>
    <cellStyle name="ปกติ 2" xfId="1" xr:uid="{00000000-0005-0000-0000-00000A000000}"/>
    <cellStyle name="ปกติ 3" xfId="9" xr:uid="{00000000-0005-0000-0000-00000B000000}"/>
  </cellStyles>
  <dxfs count="35"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6600"/>
      </font>
      <fill>
        <patternFill>
          <bgColor theme="6" tint="0.39994506668294322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996633"/>
      </font>
      <fill>
        <patternFill>
          <bgColor rgb="FFFFFFCC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996633"/>
      </font>
      <fill>
        <patternFill>
          <bgColor rgb="FFFFFFCC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996633"/>
      </font>
      <fill>
        <patternFill>
          <bgColor rgb="FFFFFFCC"/>
        </patternFill>
      </fill>
    </dxf>
  </dxfs>
  <tableStyles count="1" defaultTableStyle="TableStyleMedium2" defaultPivotStyle="PivotStyleLight16">
    <tableStyle name="MySqlDefault" pivot="0" table="0" count="0" xr9:uid="{00000000-0011-0000-FFFF-FFFF00000000}"/>
  </tableStyles>
  <colors>
    <mruColors>
      <color rgb="FF0000CC"/>
      <color rgb="FFEAF0F6"/>
      <color rgb="FFE4ECF4"/>
      <color rgb="FFCC6600"/>
      <color rgb="FFCC9900"/>
      <color rgb="FF996633"/>
      <color rgb="FFFFFFCC"/>
      <color rgb="FFF6D2D2"/>
      <color rgb="FFC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B$21" lockText="1" noThreeD="1"/>
</file>

<file path=xl/ctrlProps/ctrlProp10.xml><?xml version="1.0" encoding="utf-8"?>
<formControlPr xmlns="http://schemas.microsoft.com/office/spreadsheetml/2009/9/main" objectType="CheckBox" fmlaLink="$AQ$21" lockText="1" noThreeD="1"/>
</file>

<file path=xl/ctrlProps/ctrlProp11.xml><?xml version="1.0" encoding="utf-8"?>
<formControlPr xmlns="http://schemas.microsoft.com/office/spreadsheetml/2009/9/main" objectType="CheckBox" fmlaLink="$AR$21" lockText="1" noThreeD="1"/>
</file>

<file path=xl/ctrlProps/ctrlProp12.xml><?xml version="1.0" encoding="utf-8"?>
<formControlPr xmlns="http://schemas.microsoft.com/office/spreadsheetml/2009/9/main" objectType="CheckBox" fmlaLink="$AJ$21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Drop" dropStyle="combo" dx="16" fmlaLink="$F$89" fmlaRange="$W$8:$W$14" noThreeD="1" sel="1" val="0"/>
</file>

<file path=xl/ctrlProps/ctrlProp16.xml><?xml version="1.0" encoding="utf-8"?>
<formControlPr xmlns="http://schemas.microsoft.com/office/spreadsheetml/2009/9/main" objectType="Drop" dropStyle="combo" dx="16" fmlaLink="$F$90" fmlaRange="$W$8:$W$14" noThreeD="1" sel="1" val="0"/>
</file>

<file path=xl/ctrlProps/ctrlProp17.xml><?xml version="1.0" encoding="utf-8"?>
<formControlPr xmlns="http://schemas.microsoft.com/office/spreadsheetml/2009/9/main" objectType="Drop" dropStyle="combo" dx="16" fmlaLink="$F$91" fmlaRange="$W$8:$W$14" noThreeD="1" sel="1" val="0"/>
</file>

<file path=xl/ctrlProps/ctrlProp18.xml><?xml version="1.0" encoding="utf-8"?>
<formControlPr xmlns="http://schemas.microsoft.com/office/spreadsheetml/2009/9/main" objectType="Drop" dropStyle="combo" dx="16" fmlaLink="$F$92" fmlaRange="$W$8:$W$14" noThreeD="1" sel="1" val="0"/>
</file>

<file path=xl/ctrlProps/ctrlProp19.xml><?xml version="1.0" encoding="utf-8"?>
<formControlPr xmlns="http://schemas.microsoft.com/office/spreadsheetml/2009/9/main" objectType="Drop" dropStyle="combo" dx="16" fmlaLink="$F$93" fmlaRange="$W$8:$W$14" noThreeD="1" sel="1" val="0"/>
</file>

<file path=xl/ctrlProps/ctrlProp2.xml><?xml version="1.0" encoding="utf-8"?>
<formControlPr xmlns="http://schemas.microsoft.com/office/spreadsheetml/2009/9/main" objectType="CheckBox" fmlaLink="$AC$21" lockText="1" noThreeD="1"/>
</file>

<file path=xl/ctrlProps/ctrlProp20.xml><?xml version="1.0" encoding="utf-8"?>
<formControlPr xmlns="http://schemas.microsoft.com/office/spreadsheetml/2009/9/main" objectType="Drop" dropStyle="combo" dx="16" fmlaLink="$F$95" fmlaRange="$W$8:$W$14" noThreeD="1" sel="1" val="0"/>
</file>

<file path=xl/ctrlProps/ctrlProp21.xml><?xml version="1.0" encoding="utf-8"?>
<formControlPr xmlns="http://schemas.microsoft.com/office/spreadsheetml/2009/9/main" objectType="Drop" dropStyle="combo" dx="16" fmlaLink="$F$96" fmlaRange="$W$8:$W$14" noThreeD="1" sel="1" val="0"/>
</file>

<file path=xl/ctrlProps/ctrlProp22.xml><?xml version="1.0" encoding="utf-8"?>
<formControlPr xmlns="http://schemas.microsoft.com/office/spreadsheetml/2009/9/main" objectType="Drop" dropStyle="combo" dx="16" fmlaLink="$F$97" fmlaRange="$W$8:$W$14" noThreeD="1" sel="1" val="0"/>
</file>

<file path=xl/ctrlProps/ctrlProp23.xml><?xml version="1.0" encoding="utf-8"?>
<formControlPr xmlns="http://schemas.microsoft.com/office/spreadsheetml/2009/9/main" objectType="Drop" dropStyle="combo" dx="16" fmlaLink="$F$98" fmlaRange="$W$8:$W$14" noThreeD="1" sel="1" val="0"/>
</file>

<file path=xl/ctrlProps/ctrlProp24.xml><?xml version="1.0" encoding="utf-8"?>
<formControlPr xmlns="http://schemas.microsoft.com/office/spreadsheetml/2009/9/main" objectType="Drop" dropStyle="combo" dx="16" fmlaLink="$F$99" fmlaRange="$W$8:$W$14" noThreeD="1" sel="1" val="0"/>
</file>

<file path=xl/ctrlProps/ctrlProp25.xml><?xml version="1.0" encoding="utf-8"?>
<formControlPr xmlns="http://schemas.microsoft.com/office/spreadsheetml/2009/9/main" objectType="Drop" dropStyle="combo" dx="16" fmlaLink="$H$89" fmlaRange="$W$8:$W$14" noThreeD="1" sel="1" val="0"/>
</file>

<file path=xl/ctrlProps/ctrlProp26.xml><?xml version="1.0" encoding="utf-8"?>
<formControlPr xmlns="http://schemas.microsoft.com/office/spreadsheetml/2009/9/main" objectType="Drop" dropStyle="combo" dx="16" fmlaLink="$H$90" fmlaRange="$W$8:$W$14" noThreeD="1" sel="1" val="0"/>
</file>

<file path=xl/ctrlProps/ctrlProp27.xml><?xml version="1.0" encoding="utf-8"?>
<formControlPr xmlns="http://schemas.microsoft.com/office/spreadsheetml/2009/9/main" objectType="Drop" dropStyle="combo" dx="16" fmlaLink="$H$91" fmlaRange="$W$8:$W$14" noThreeD="1" sel="1" val="0"/>
</file>

<file path=xl/ctrlProps/ctrlProp28.xml><?xml version="1.0" encoding="utf-8"?>
<formControlPr xmlns="http://schemas.microsoft.com/office/spreadsheetml/2009/9/main" objectType="Drop" dropStyle="combo" dx="16" fmlaLink="$H$92" fmlaRange="$W$8:$W$14" noThreeD="1" sel="1" val="0"/>
</file>

<file path=xl/ctrlProps/ctrlProp29.xml><?xml version="1.0" encoding="utf-8"?>
<formControlPr xmlns="http://schemas.microsoft.com/office/spreadsheetml/2009/9/main" objectType="Drop" dropStyle="combo" dx="16" fmlaLink="$H$93" fmlaRange="$W$8:$W$14" noThreeD="1" sel="1" val="0"/>
</file>

<file path=xl/ctrlProps/ctrlProp3.xml><?xml version="1.0" encoding="utf-8"?>
<formControlPr xmlns="http://schemas.microsoft.com/office/spreadsheetml/2009/9/main" objectType="CheckBox" fmlaLink="$AD$21" lockText="1" noThreeD="1"/>
</file>

<file path=xl/ctrlProps/ctrlProp30.xml><?xml version="1.0" encoding="utf-8"?>
<formControlPr xmlns="http://schemas.microsoft.com/office/spreadsheetml/2009/9/main" objectType="Drop" dropStyle="combo" dx="16" fmlaLink="$H$95" fmlaRange="$W$8:$W$14" noThreeD="1" sel="1" val="0"/>
</file>

<file path=xl/ctrlProps/ctrlProp31.xml><?xml version="1.0" encoding="utf-8"?>
<formControlPr xmlns="http://schemas.microsoft.com/office/spreadsheetml/2009/9/main" objectType="Drop" dropStyle="combo" dx="16" fmlaLink="$H$96" fmlaRange="$W$8:$W$14" noThreeD="1" sel="1" val="0"/>
</file>

<file path=xl/ctrlProps/ctrlProp32.xml><?xml version="1.0" encoding="utf-8"?>
<formControlPr xmlns="http://schemas.microsoft.com/office/spreadsheetml/2009/9/main" objectType="Drop" dropStyle="combo" dx="16" fmlaLink="$H$97" fmlaRange="$W$8:$W$14" noThreeD="1" sel="1" val="0"/>
</file>

<file path=xl/ctrlProps/ctrlProp33.xml><?xml version="1.0" encoding="utf-8"?>
<formControlPr xmlns="http://schemas.microsoft.com/office/spreadsheetml/2009/9/main" objectType="Drop" dropStyle="combo" dx="16" fmlaLink="$H$98" fmlaRange="$W$8:$W$14" noThreeD="1" sel="1" val="0"/>
</file>

<file path=xl/ctrlProps/ctrlProp34.xml><?xml version="1.0" encoding="utf-8"?>
<formControlPr xmlns="http://schemas.microsoft.com/office/spreadsheetml/2009/9/main" objectType="Drop" dropStyle="combo" dx="16" fmlaLink="$H$99" fmlaRange="$W$8:$W$14" noThreeD="1" sel="1" val="0"/>
</file>

<file path=xl/ctrlProps/ctrlProp35.xml><?xml version="1.0" encoding="utf-8"?>
<formControlPr xmlns="http://schemas.microsoft.com/office/spreadsheetml/2009/9/main" objectType="Drop" dropStyle="combo" dx="16" fmlaLink="$F$101" fmlaRange="$W$8:$W$14" noThreeD="1" sel="1" val="0"/>
</file>

<file path=xl/ctrlProps/ctrlProp36.xml><?xml version="1.0" encoding="utf-8"?>
<formControlPr xmlns="http://schemas.microsoft.com/office/spreadsheetml/2009/9/main" objectType="Drop" dropStyle="combo" dx="16" fmlaLink="$F$102" fmlaRange="$W$8:$W$14" noThreeD="1" sel="1" val="0"/>
</file>

<file path=xl/ctrlProps/ctrlProp37.xml><?xml version="1.0" encoding="utf-8"?>
<formControlPr xmlns="http://schemas.microsoft.com/office/spreadsheetml/2009/9/main" objectType="Drop" dropStyle="combo" dx="16" fmlaLink="$F$103" fmlaRange="$W$8:$W$14" noThreeD="1" sel="1" val="0"/>
</file>

<file path=xl/ctrlProps/ctrlProp38.xml><?xml version="1.0" encoding="utf-8"?>
<formControlPr xmlns="http://schemas.microsoft.com/office/spreadsheetml/2009/9/main" objectType="Drop" dropStyle="combo" dx="16" fmlaLink="$F$104" fmlaRange="$W$8:$W$14" noThreeD="1" sel="1" val="0"/>
</file>

<file path=xl/ctrlProps/ctrlProp39.xml><?xml version="1.0" encoding="utf-8"?>
<formControlPr xmlns="http://schemas.microsoft.com/office/spreadsheetml/2009/9/main" objectType="Drop" dropStyle="combo" dx="16" fmlaLink="$H$101" fmlaRange="$W$8:$W$14" noThreeD="1" sel="1" val="0"/>
</file>

<file path=xl/ctrlProps/ctrlProp4.xml><?xml version="1.0" encoding="utf-8"?>
<formControlPr xmlns="http://schemas.microsoft.com/office/spreadsheetml/2009/9/main" objectType="CheckBox" fmlaLink="$AE$21" lockText="1" noThreeD="1"/>
</file>

<file path=xl/ctrlProps/ctrlProp40.xml><?xml version="1.0" encoding="utf-8"?>
<formControlPr xmlns="http://schemas.microsoft.com/office/spreadsheetml/2009/9/main" objectType="Drop" dropStyle="combo" dx="16" fmlaLink="$H$102" fmlaRange="$W$8:$W$14" noThreeD="1" sel="1" val="0"/>
</file>

<file path=xl/ctrlProps/ctrlProp41.xml><?xml version="1.0" encoding="utf-8"?>
<formControlPr xmlns="http://schemas.microsoft.com/office/spreadsheetml/2009/9/main" objectType="Drop" dropStyle="combo" dx="16" fmlaLink="$H$103" fmlaRange="$W$8:$W$14" noThreeD="1" sel="1" val="0"/>
</file>

<file path=xl/ctrlProps/ctrlProp42.xml><?xml version="1.0" encoding="utf-8"?>
<formControlPr xmlns="http://schemas.microsoft.com/office/spreadsheetml/2009/9/main" objectType="Drop" dropStyle="combo" dx="16" fmlaLink="$H$104" fmlaRange="$W$8:$W$14" noThreeD="1" sel="1" val="0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AF$21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fmlaLink="$N$8" lockText="1" noThreeD="1"/>
</file>

<file path=xl/ctrlProps/ctrlProp52.xml><?xml version="1.0" encoding="utf-8"?>
<formControlPr xmlns="http://schemas.microsoft.com/office/spreadsheetml/2009/9/main" objectType="CheckBox" fmlaLink="$N$10" lockText="1" noThreeD="1"/>
</file>

<file path=xl/ctrlProps/ctrlProp53.xml><?xml version="1.0" encoding="utf-8"?>
<formControlPr xmlns="http://schemas.microsoft.com/office/spreadsheetml/2009/9/main" objectType="CheckBox" fmlaLink="$N$11" lockText="1" noThreeD="1"/>
</file>

<file path=xl/ctrlProps/ctrlProp54.xml><?xml version="1.0" encoding="utf-8"?>
<formControlPr xmlns="http://schemas.microsoft.com/office/spreadsheetml/2009/9/main" objectType="CheckBox" fmlaLink="$N$12" lockText="1" noThreeD="1"/>
</file>

<file path=xl/ctrlProps/ctrlProp55.xml><?xml version="1.0" encoding="utf-8"?>
<formControlPr xmlns="http://schemas.microsoft.com/office/spreadsheetml/2009/9/main" objectType="CheckBox" fmlaLink="$N$15" lockText="1" noThreeD="1"/>
</file>

<file path=xl/ctrlProps/ctrlProp56.xml><?xml version="1.0" encoding="utf-8"?>
<formControlPr xmlns="http://schemas.microsoft.com/office/spreadsheetml/2009/9/main" objectType="CheckBox" fmlaLink="$N$9" lockText="1" noThreeD="1"/>
</file>

<file path=xl/ctrlProps/ctrlProp57.xml><?xml version="1.0" encoding="utf-8"?>
<formControlPr xmlns="http://schemas.microsoft.com/office/spreadsheetml/2009/9/main" objectType="CheckBox" fmlaLink="$N$13" lockText="1" noThreeD="1"/>
</file>

<file path=xl/ctrlProps/ctrlProp58.xml><?xml version="1.0" encoding="utf-8"?>
<formControlPr xmlns="http://schemas.microsoft.com/office/spreadsheetml/2009/9/main" objectType="CheckBox" fmlaLink="$M$9" lockText="1" noThreeD="1"/>
</file>

<file path=xl/ctrlProps/ctrlProp59.xml><?xml version="1.0" encoding="utf-8"?>
<formControlPr xmlns="http://schemas.microsoft.com/office/spreadsheetml/2009/9/main" objectType="CheckBox" fmlaLink="$M$10" lockText="1" noThreeD="1"/>
</file>

<file path=xl/ctrlProps/ctrlProp6.xml><?xml version="1.0" encoding="utf-8"?>
<formControlPr xmlns="http://schemas.microsoft.com/office/spreadsheetml/2009/9/main" objectType="CheckBox" fmlaLink="$AG$21" lockText="1" noThreeD="1"/>
</file>

<file path=xl/ctrlProps/ctrlProp7.xml><?xml version="1.0" encoding="utf-8"?>
<formControlPr xmlns="http://schemas.microsoft.com/office/spreadsheetml/2009/9/main" objectType="CheckBox" fmlaLink="$AH$21" lockText="1" noThreeD="1"/>
</file>

<file path=xl/ctrlProps/ctrlProp8.xml><?xml version="1.0" encoding="utf-8"?>
<formControlPr xmlns="http://schemas.microsoft.com/office/spreadsheetml/2009/9/main" objectType="CheckBox" fmlaLink="$AI$21" lockText="1" noThreeD="1"/>
</file>

<file path=xl/ctrlProps/ctrlProp9.xml><?xml version="1.0" encoding="utf-8"?>
<formControlPr xmlns="http://schemas.microsoft.com/office/spreadsheetml/2009/9/main" objectType="CheckBox" fmlaLink="$AP$21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603250</xdr:colOff>
      <xdr:row>0</xdr:row>
      <xdr:rowOff>142875</xdr:rowOff>
    </xdr:from>
    <xdr:to>
      <xdr:col>8</xdr:col>
      <xdr:colOff>174625</xdr:colOff>
      <xdr:row>4</xdr:row>
      <xdr:rowOff>19051</xdr:rowOff>
    </xdr:to>
    <xdr:pic>
      <xdr:nvPicPr>
        <xdr:cNvPr id="2" name="Picture 132" descr="mju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142875"/>
          <a:ext cx="800100" cy="771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742950</xdr:colOff>
      <xdr:row>10</xdr:row>
      <xdr:rowOff>228600</xdr:rowOff>
    </xdr:from>
    <xdr:to>
      <xdr:col>21</xdr:col>
      <xdr:colOff>123825</xdr:colOff>
      <xdr:row>12</xdr:row>
      <xdr:rowOff>57150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11763375" y="2590800"/>
          <a:ext cx="257175" cy="18097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9525</xdr:colOff>
      <xdr:row>10</xdr:row>
      <xdr:rowOff>133350</xdr:rowOff>
    </xdr:from>
    <xdr:to>
      <xdr:col>22</xdr:col>
      <xdr:colOff>171451</xdr:colOff>
      <xdr:row>11</xdr:row>
      <xdr:rowOff>19050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6826" t="49079" r="72289" b="49254"/>
        <a:stretch/>
      </xdr:blipFill>
      <xdr:spPr>
        <a:xfrm>
          <a:off x="12458700" y="2495550"/>
          <a:ext cx="161926" cy="171450"/>
        </a:xfrm>
        <a:prstGeom prst="rect">
          <a:avLst/>
        </a:prstGeom>
      </xdr:spPr>
    </xdr:pic>
    <xdr:clientData/>
  </xdr:twoCellAnchor>
  <xdr:twoCellAnchor>
    <xdr:from>
      <xdr:col>22</xdr:col>
      <xdr:colOff>171451</xdr:colOff>
      <xdr:row>10</xdr:row>
      <xdr:rowOff>219075</xdr:rowOff>
    </xdr:from>
    <xdr:to>
      <xdr:col>22</xdr:col>
      <xdr:colOff>428625</xdr:colOff>
      <xdr:row>12</xdr:row>
      <xdr:rowOff>57150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endCxn id="4" idx="3"/>
        </xdr:cNvCxnSpPr>
      </xdr:nvCxnSpPr>
      <xdr:spPr>
        <a:xfrm flipH="1" flipV="1">
          <a:off x="12620626" y="2581275"/>
          <a:ext cx="257174" cy="19050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38</xdr:row>
      <xdr:rowOff>161925</xdr:rowOff>
    </xdr:from>
    <xdr:to>
      <xdr:col>15</xdr:col>
      <xdr:colOff>486641</xdr:colOff>
      <xdr:row>38</xdr:row>
      <xdr:rowOff>161925</xdr:rowOff>
    </xdr:to>
    <xdr:cxnSp macro="">
      <xdr:nvCxnSpPr>
        <xdr:cNvPr id="6" name="Straight Arrow Connector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7524750" y="10563225"/>
          <a:ext cx="1972541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485775</xdr:colOff>
      <xdr:row>39</xdr:row>
      <xdr:rowOff>159328</xdr:rowOff>
    </xdr:from>
    <xdr:to>
      <xdr:col>15</xdr:col>
      <xdr:colOff>486640</xdr:colOff>
      <xdr:row>39</xdr:row>
      <xdr:rowOff>159328</xdr:rowOff>
    </xdr:to>
    <xdr:cxnSp macro="">
      <xdr:nvCxnSpPr>
        <xdr:cNvPr id="7" name="Straight Arrow Connector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515225" y="10855903"/>
          <a:ext cx="1982065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485775</xdr:colOff>
      <xdr:row>40</xdr:row>
      <xdr:rowOff>150669</xdr:rowOff>
    </xdr:from>
    <xdr:to>
      <xdr:col>15</xdr:col>
      <xdr:colOff>486640</xdr:colOff>
      <xdr:row>40</xdr:row>
      <xdr:rowOff>150669</xdr:rowOff>
    </xdr:to>
    <xdr:cxnSp macro="">
      <xdr:nvCxnSpPr>
        <xdr:cNvPr id="8" name="Straight Arrow Connector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7515225" y="11142519"/>
          <a:ext cx="1982065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486641</xdr:colOff>
      <xdr:row>41</xdr:row>
      <xdr:rowOff>140278</xdr:rowOff>
    </xdr:from>
    <xdr:to>
      <xdr:col>15</xdr:col>
      <xdr:colOff>486641</xdr:colOff>
      <xdr:row>41</xdr:row>
      <xdr:rowOff>140278</xdr:rowOff>
    </xdr:to>
    <xdr:cxnSp macro="">
      <xdr:nvCxnSpPr>
        <xdr:cNvPr id="9" name="Straight Arrow Connector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7516091" y="11427403"/>
          <a:ext cx="1981200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</xdr:colOff>
      <xdr:row>51</xdr:row>
      <xdr:rowOff>9525</xdr:rowOff>
    </xdr:from>
    <xdr:to>
      <xdr:col>25</xdr:col>
      <xdr:colOff>112568</xdr:colOff>
      <xdr:row>58</xdr:row>
      <xdr:rowOff>77932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358005" y="15526616"/>
          <a:ext cx="4258540" cy="5012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คำอธิบายการกำหนดค่าเป้าหมาย (ค)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1. ทำเครื่องหมายถูกที่ช่องสี่เหลี่ยม </a:t>
          </a:r>
          <a:r>
            <a:rPr lang="en-US" sz="1400">
              <a:latin typeface="TH SarabunPSK" panose="020B0500040200020003" pitchFamily="34" charset="-34"/>
              <a:cs typeface="TH SarabunPSK" panose="020B0500040200020003" pitchFamily="34" charset="-34"/>
              <a:sym typeface="Wingdings 2"/>
            </a:rPr>
            <a:t></a:t>
          </a:r>
          <a:r>
            <a:rPr lang="en-US" sz="14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ในช่องค่าเป้าหมาย (ค) เพื่อกำหนดค่าเป้าหมาย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ของภาระงาน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2. เฉพาะหัวข้อ 2) ภาระงานวิจัยและงานวิชาการอื่น ข้อที่ 2.มีการเผยแพร่ผลงานวิจัย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ให้กรอกจำนวนชิ้นงานตามช่องน้ำหนักคุณภาพของผลงาน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0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คำอธิบายการคิดผลรวมค่าเป้าหมาย </a:t>
          </a:r>
          <a:r>
            <a:rPr lang="en-US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ค)</a:t>
          </a:r>
          <a:r>
            <a:rPr lang="th-TH" sz="1400" b="1" u="sng" baseline="0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และค่า</a:t>
          </a:r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น้ำหนัก (ง)</a:t>
          </a:r>
          <a:r>
            <a:rPr lang="th-TH" sz="1400" b="1" u="sng" baseline="0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ภาระงานเชิงคุณภาพกำหนดค่าน้ำหนัก (ร้อยละ) แบ่งตามภาระงาน ดังนี้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ภาระงานสอน รวมร้อยละ 10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ภาระงานวิจัยและงานวิชาการอื่น รวมร้อยละ 10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ภาระงานบริการวิชาการ รวมร้อยละ 5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ดังนั้น น้ำหนักรวมทั้ง 3 ภาระงาน คือ ร้อยละ 25 </a:t>
          </a:r>
        </a:p>
        <a:p>
          <a:r>
            <a:rPr lang="th-TH" sz="1400" u="sng" baseline="0">
              <a:solidFill>
                <a:srgbClr val="FF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**เนื่องด้วยคณะกรรมการพัฒนาหลักเกณฑ์และการคำนวณภาระงานบุคลากรประเภทวิชาการ สังกัดมหาวิทยาลัยแม่โจ้ ในการประชุมครั้งที่ 1/2562 และ ก.บ.ม. ในการประชุมครั้งที่ 22/2562 </a:t>
          </a:r>
          <a:r>
            <a:rPr lang="th-TH" sz="1400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ได้มีมติเห็นชอบให้กำหนดสัดส่วนภาระงานตามพันธกิจ </a:t>
          </a:r>
        </a:p>
        <a:p>
          <a:r>
            <a:rPr lang="th-TH" sz="1400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เชิงปริมาณร้อยละ 30 และเชิงคุณภาพร้อยละ 10 สำหรับสายวิชาการทั่วไป  (สำหรับตำแหน่งบริหารอื่น ๆ ให้เทียบสัดส่วนตามน้ำหนักรวมของแต่ละตำแหน่ง) ดังนั้น จากคะแนนรวมร้อยละ 25 จึงต้องมีการเทียบบัญญัติ ไตรยางค์ผลรวมของคะแนนเป็นร้อยละ ตามตำแหน่งดังกล่าวข้างต้น**</a:t>
          </a:r>
          <a:endParaRPr lang="th-TH" sz="1400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1. กรณีที่ไม่ได้ดำรงตำแหน่งบริหาร ค่าน้ำหนักรวมสูงสุดของภาระงานพันธกิจ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เชิงคุณภาพจะเท่ากับร้อยละ 10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2. กรณีที่ดำรงตำแหน่งบริหาร การคิดผลรวมน้ำหนักภาระงานจะคิดสูงสุด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ไม่เกินค่าน้ำหนักภาระงานพันธกิจเชิงคุณภาพของตำแหน่งบริหารที่กำหนด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ไว้ตามประกาศแนบท้าย ก.บ.ม.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47</xdr:row>
          <xdr:rowOff>180975</xdr:rowOff>
        </xdr:from>
        <xdr:to>
          <xdr:col>8</xdr:col>
          <xdr:colOff>609600</xdr:colOff>
          <xdr:row>47</xdr:row>
          <xdr:rowOff>485775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48</xdr:row>
          <xdr:rowOff>190500</xdr:rowOff>
        </xdr:from>
        <xdr:to>
          <xdr:col>8</xdr:col>
          <xdr:colOff>609600</xdr:colOff>
          <xdr:row>48</xdr:row>
          <xdr:rowOff>495300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49</xdr:row>
          <xdr:rowOff>314325</xdr:rowOff>
        </xdr:from>
        <xdr:to>
          <xdr:col>8</xdr:col>
          <xdr:colOff>609600</xdr:colOff>
          <xdr:row>49</xdr:row>
          <xdr:rowOff>619125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50</xdr:row>
          <xdr:rowOff>0</xdr:rowOff>
        </xdr:from>
        <xdr:to>
          <xdr:col>8</xdr:col>
          <xdr:colOff>609600</xdr:colOff>
          <xdr:row>51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51</xdr:row>
          <xdr:rowOff>190500</xdr:rowOff>
        </xdr:from>
        <xdr:to>
          <xdr:col>8</xdr:col>
          <xdr:colOff>609600</xdr:colOff>
          <xdr:row>51</xdr:row>
          <xdr:rowOff>495300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52</xdr:row>
          <xdr:rowOff>361950</xdr:rowOff>
        </xdr:from>
        <xdr:to>
          <xdr:col>8</xdr:col>
          <xdr:colOff>609600</xdr:colOff>
          <xdr:row>52</xdr:row>
          <xdr:rowOff>666750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53</xdr:row>
          <xdr:rowOff>533400</xdr:rowOff>
        </xdr:from>
        <xdr:to>
          <xdr:col>8</xdr:col>
          <xdr:colOff>609600</xdr:colOff>
          <xdr:row>53</xdr:row>
          <xdr:rowOff>838200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56</xdr:row>
          <xdr:rowOff>447675</xdr:rowOff>
        </xdr:from>
        <xdr:to>
          <xdr:col>8</xdr:col>
          <xdr:colOff>609600</xdr:colOff>
          <xdr:row>56</xdr:row>
          <xdr:rowOff>752475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67</xdr:row>
          <xdr:rowOff>304800</xdr:rowOff>
        </xdr:from>
        <xdr:to>
          <xdr:col>8</xdr:col>
          <xdr:colOff>609600</xdr:colOff>
          <xdr:row>67</xdr:row>
          <xdr:rowOff>609600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70</xdr:row>
          <xdr:rowOff>180975</xdr:rowOff>
        </xdr:from>
        <xdr:to>
          <xdr:col>8</xdr:col>
          <xdr:colOff>609600</xdr:colOff>
          <xdr:row>70</xdr:row>
          <xdr:rowOff>485775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71</xdr:row>
          <xdr:rowOff>238125</xdr:rowOff>
        </xdr:from>
        <xdr:to>
          <xdr:col>8</xdr:col>
          <xdr:colOff>609600</xdr:colOff>
          <xdr:row>71</xdr:row>
          <xdr:rowOff>542925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58</xdr:row>
          <xdr:rowOff>0</xdr:rowOff>
        </xdr:from>
        <xdr:to>
          <xdr:col>8</xdr:col>
          <xdr:colOff>600075</xdr:colOff>
          <xdr:row>59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111</xdr:row>
          <xdr:rowOff>19050</xdr:rowOff>
        </xdr:from>
        <xdr:to>
          <xdr:col>5</xdr:col>
          <xdr:colOff>390525</xdr:colOff>
          <xdr:row>112</xdr:row>
          <xdr:rowOff>47625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112</xdr:row>
          <xdr:rowOff>28575</xdr:rowOff>
        </xdr:from>
        <xdr:to>
          <xdr:col>5</xdr:col>
          <xdr:colOff>390525</xdr:colOff>
          <xdr:row>113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4</xdr:col>
      <xdr:colOff>1905</xdr:colOff>
      <xdr:row>16</xdr:row>
      <xdr:rowOff>0</xdr:rowOff>
    </xdr:from>
    <xdr:to>
      <xdr:col>4</xdr:col>
      <xdr:colOff>1905</xdr:colOff>
      <xdr:row>16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678555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0" i="0" u="none" strike="noStrike" baseline="0">
              <a:solidFill>
                <a:srgbClr val="000000"/>
              </a:solidFill>
              <a:latin typeface="Tw Cen MT"/>
            </a:rPr>
            <a:t>√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ผู้ช่วยศาสตราจารย์  ระดับ ....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  ......................................................................................................................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ปริญญาโท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9" name="Text Box 1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3" name="Text Box 2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4" name="Text Box 2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5" name="Text Box 2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6" name="Text Box 2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7" name="Text Box 2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8" name="Text Box 3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9" name="Text Box 3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0" name="Text Box 34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1" name="Text Box 36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2" name="Text Box 3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3" name="Text Box 4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4" name="Text Box 4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5" name="Text Box 4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6" name="Text Box 44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7" name="Text Box 45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8" name="Text Box 46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9" name="Text Box 4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30" name="Text Box 4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31" name="Text Box 52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32" name="Text Box 53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2</xdr:col>
      <xdr:colOff>1230630</xdr:colOff>
      <xdr:row>16</xdr:row>
      <xdr:rowOff>0</xdr:rowOff>
    </xdr:from>
    <xdr:to>
      <xdr:col>3</xdr:col>
      <xdr:colOff>712512</xdr:colOff>
      <xdr:row>16</xdr:row>
      <xdr:rowOff>0</xdr:rowOff>
    </xdr:to>
    <xdr:sp macro="" textlink="">
      <xdr:nvSpPr>
        <xdr:cNvPr id="33" name="Text Box 55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2459355" y="4048125"/>
          <a:ext cx="1158282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4</xdr:col>
      <xdr:colOff>1905</xdr:colOff>
      <xdr:row>16</xdr:row>
      <xdr:rowOff>0</xdr:rowOff>
    </xdr:from>
    <xdr:to>
      <xdr:col>4</xdr:col>
      <xdr:colOff>1905</xdr:colOff>
      <xdr:row>16</xdr:row>
      <xdr:rowOff>0</xdr:rowOff>
    </xdr:to>
    <xdr:sp macro="" textlink="">
      <xdr:nvSpPr>
        <xdr:cNvPr id="34" name="Text Box 56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3678555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√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5" name="Text Box 90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6" name="Text Box 93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Text Box 94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8" name="Text Box 95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9" name="Text Box 97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0" name="Text Box 98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1" name="Text Box 9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2" name="Text Box 100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3" name="Text Box 10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4" name="Text Box 10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5" name="Text Box 10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6" name="Text Box 10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7" name="Text Box 10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8" name="Text Box 112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9" name="Text Box 113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0" name="Text Box 114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1" name="Text Box 116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2" name="Text Box 117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3" name="Text Box 118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4" name="Text Box 119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5" name="Text Box 12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6" name="Text Box 12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7" name="Text Box 125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8" name="Text Box 126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5</xdr:col>
      <xdr:colOff>323850</xdr:colOff>
      <xdr:row>0</xdr:row>
      <xdr:rowOff>142875</xdr:rowOff>
    </xdr:from>
    <xdr:to>
      <xdr:col>6</xdr:col>
      <xdr:colOff>666750</xdr:colOff>
      <xdr:row>4</xdr:row>
      <xdr:rowOff>0</xdr:rowOff>
    </xdr:to>
    <xdr:pic>
      <xdr:nvPicPr>
        <xdr:cNvPr id="59" name="Picture 132" descr="mju_logo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2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155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60" name="Text Box 14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155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155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155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63" name="Text Box 58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155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64" name="Text Box 59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155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65" name="Text Box 60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155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66" name="Text Box 6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155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67" name="Text Box 6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155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68" name="Text Box 6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155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69" name="Text Box 6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155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70" name="Text Box 6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155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71" name="Text Box 6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155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72" name="Text Box 6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155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73" name="Text Box 6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155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74" name="Text Box 69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155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75" name="Text Box 70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155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76" name="Text Box 71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155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77" name="Text Box 72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155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78" name="Text Box 73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155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79" name="Text Box 74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155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80" name="Text Box 75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155</xdr:row>
      <xdr:rowOff>0</xdr:rowOff>
    </xdr:from>
    <xdr:to>
      <xdr:col>12</xdr:col>
      <xdr:colOff>0</xdr:colOff>
      <xdr:row>155</xdr:row>
      <xdr:rowOff>0</xdr:rowOff>
    </xdr:to>
    <xdr:sp macro="" textlink="">
      <xdr:nvSpPr>
        <xdr:cNvPr id="81" name="Text Box 76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13</xdr:col>
      <xdr:colOff>156102</xdr:colOff>
      <xdr:row>28</xdr:row>
      <xdr:rowOff>82019</xdr:rowOff>
    </xdr:from>
    <xdr:to>
      <xdr:col>20</xdr:col>
      <xdr:colOff>476249</xdr:colOff>
      <xdr:row>32</xdr:row>
      <xdr:rowOff>190499</xdr:rowOff>
    </xdr:to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10814577" y="8864069"/>
          <a:ext cx="3825347" cy="1537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คำอธิบายเกณฑ์การให้คะแนน (ฉ)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1. ในกรณีที่</a:t>
          </a:r>
          <a:r>
            <a:rPr lang="th-TH" sz="1400" u="sng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จำนวนชั่วโมงทำการ/สัปดาห์ (ค) ค่าคะแนนต่ำสุดคือ 0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2. ในกรณีที่จำนวนชั่วโมงทำการของภาระงาน (ค) ได้</a:t>
          </a:r>
          <a:r>
            <a:rPr lang="th-TH" sz="1400" u="sng">
              <a:latin typeface="TH SarabunPSK" panose="020B0500040200020003" pitchFamily="34" charset="-34"/>
              <a:cs typeface="TH SarabunPSK" panose="020B0500040200020003" pitchFamily="34" charset="-34"/>
            </a:rPr>
            <a:t>เท่ากับหรือมากกว่า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ค่าเป้าหมายที่กำหนด (ข) ให้ได้ค่าคะแนนสูงสุดคือ 5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3. ในกรณีที่จำนวนชั่วโมงทำการของภาระงาน (ค) ได้</a:t>
          </a:r>
          <a:r>
            <a:rPr lang="th-TH" sz="1400" u="sng">
              <a:latin typeface="TH SarabunPSK" panose="020B0500040200020003" pitchFamily="34" charset="-34"/>
              <a:cs typeface="TH SarabunPSK" panose="020B0500040200020003" pitchFamily="34" charset="-34"/>
            </a:rPr>
            <a:t>น้อยกว่า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ค่าเป้าหมาย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ที่กำหนด (ข) ให้ได้คะแนนลดลงตามสัดส่วนจำนวนชั่วโมงทำการที่ทำได้</a:t>
          </a:r>
          <a:endParaRPr lang="en-US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150809</xdr:colOff>
      <xdr:row>57</xdr:row>
      <xdr:rowOff>127020</xdr:rowOff>
    </xdr:from>
    <xdr:to>
      <xdr:col>21</xdr:col>
      <xdr:colOff>0</xdr:colOff>
      <xdr:row>65</xdr:row>
      <xdr:rowOff>233795</xdr:rowOff>
    </xdr:to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10896741" y="19367520"/>
          <a:ext cx="4031532" cy="3708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คำอธิบายการคิดค่าคะแนนรวม (ซ)</a:t>
          </a:r>
          <a:r>
            <a:rPr lang="th-TH" sz="1400" b="1" u="sng" baseline="0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ภาระงานเชิงคุณภาพกำหนดค่าน้ำหนัก (ร้อยละ) แบ่งตามภาระงาน ดังนี้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ภาระงานสอน รวมร้อยละ 10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ภาระงานวิจัยและงานวิชาการอื่น รวมร้อยละ 10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ภาระงานบริการวิชาการ รวมร้อยละ 5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ดังนั้น น้ำหนักรวมทั้ง 3 ภาระงาน คือ ร้อยละ 25 </a:t>
          </a:r>
        </a:p>
        <a:p>
          <a:r>
            <a:rPr lang="th-TH" sz="1400" u="sng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**เนื่องด้วยคณะกรรมการพัฒนาหลักเกณฑ์และการคำนวณภาระงานบุคลากรประเภทวิชาการ สังกัดมหาวิทยาลัยแม่โจ้ ในการประชุมครั้งที่ 1/2562 และ ก.บ.ม. ในการประชุมครั้งที่ 22/2562 ได้มีมติเห็นชอบให้กำหนดสัดส่วนภาระงานตาม</a:t>
          </a:r>
        </a:p>
        <a:p>
          <a:r>
            <a:rPr lang="th-TH" sz="1400" u="sng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พันธกิจ เชิงปริมาณร้อยละ 30 และเชิงคุณภาพร้อยละ 10 สำหรับสายวิชาการทั่วไป  (สำหรับตำแหน่งบริหารอื่น ๆ ให้เทียบสัดส่วนตามน้ำหนักรวมของแต่ละตำแหน่ง) ดังนั้น จากคะแนนรวมร้อยละ 25 จึงต้องมีการเทียบบัญญัติ ไตรยางค์ผลรวมของคะแนนเป็นร้อยละ ตามตำแหน่งดังกล่าวข้างต้น**</a:t>
          </a:r>
          <a:endParaRPr lang="th-TH" sz="1400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1. กรณีที่ไม่ได้ดำรงตำแหน่งบริหาร ค่าน้ำหนักรวมสูงสุดของภาระงานพันธกิจ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เชิงคุณภาพจะเท่ากับร้อยละ 10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2. กรณีที่ดำรงตำแหน่งบริหาร การคิดผลรวมน้ำหนักภาระงานจะคิดสูงสุด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ไม่เกินค่าน้ำหนักภาระงานพันธกิจเชิงคุณภาพของตำแหน่งบริหารที่กำหนด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ไว้ตามประกาศแนบท้าย ก.บ.ม.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88</xdr:row>
          <xdr:rowOff>47625</xdr:rowOff>
        </xdr:from>
        <xdr:to>
          <xdr:col>6</xdr:col>
          <xdr:colOff>409575</xdr:colOff>
          <xdr:row>88</xdr:row>
          <xdr:rowOff>247650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89</xdr:row>
          <xdr:rowOff>47625</xdr:rowOff>
        </xdr:from>
        <xdr:to>
          <xdr:col>6</xdr:col>
          <xdr:colOff>409575</xdr:colOff>
          <xdr:row>89</xdr:row>
          <xdr:rowOff>247650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90</xdr:row>
          <xdr:rowOff>47625</xdr:rowOff>
        </xdr:from>
        <xdr:to>
          <xdr:col>6</xdr:col>
          <xdr:colOff>409575</xdr:colOff>
          <xdr:row>90</xdr:row>
          <xdr:rowOff>247650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91</xdr:row>
          <xdr:rowOff>47625</xdr:rowOff>
        </xdr:from>
        <xdr:to>
          <xdr:col>6</xdr:col>
          <xdr:colOff>409575</xdr:colOff>
          <xdr:row>91</xdr:row>
          <xdr:rowOff>247650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92</xdr:row>
          <xdr:rowOff>47625</xdr:rowOff>
        </xdr:from>
        <xdr:to>
          <xdr:col>6</xdr:col>
          <xdr:colOff>409575</xdr:colOff>
          <xdr:row>92</xdr:row>
          <xdr:rowOff>247650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94</xdr:row>
          <xdr:rowOff>47625</xdr:rowOff>
        </xdr:from>
        <xdr:to>
          <xdr:col>6</xdr:col>
          <xdr:colOff>409575</xdr:colOff>
          <xdr:row>94</xdr:row>
          <xdr:rowOff>247650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95</xdr:row>
          <xdr:rowOff>47625</xdr:rowOff>
        </xdr:from>
        <xdr:to>
          <xdr:col>6</xdr:col>
          <xdr:colOff>409575</xdr:colOff>
          <xdr:row>95</xdr:row>
          <xdr:rowOff>247650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96</xdr:row>
          <xdr:rowOff>47625</xdr:rowOff>
        </xdr:from>
        <xdr:to>
          <xdr:col>6</xdr:col>
          <xdr:colOff>409575</xdr:colOff>
          <xdr:row>96</xdr:row>
          <xdr:rowOff>247650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97</xdr:row>
          <xdr:rowOff>47625</xdr:rowOff>
        </xdr:from>
        <xdr:to>
          <xdr:col>6</xdr:col>
          <xdr:colOff>409575</xdr:colOff>
          <xdr:row>97</xdr:row>
          <xdr:rowOff>247650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98</xdr:row>
          <xdr:rowOff>47625</xdr:rowOff>
        </xdr:from>
        <xdr:to>
          <xdr:col>6</xdr:col>
          <xdr:colOff>409575</xdr:colOff>
          <xdr:row>98</xdr:row>
          <xdr:rowOff>247650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88</xdr:row>
          <xdr:rowOff>47625</xdr:rowOff>
        </xdr:from>
        <xdr:to>
          <xdr:col>7</xdr:col>
          <xdr:colOff>914400</xdr:colOff>
          <xdr:row>88</xdr:row>
          <xdr:rowOff>247650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89</xdr:row>
          <xdr:rowOff>47625</xdr:rowOff>
        </xdr:from>
        <xdr:to>
          <xdr:col>7</xdr:col>
          <xdr:colOff>904875</xdr:colOff>
          <xdr:row>89</xdr:row>
          <xdr:rowOff>247650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90</xdr:row>
          <xdr:rowOff>47625</xdr:rowOff>
        </xdr:from>
        <xdr:to>
          <xdr:col>7</xdr:col>
          <xdr:colOff>904875</xdr:colOff>
          <xdr:row>90</xdr:row>
          <xdr:rowOff>247650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91</xdr:row>
          <xdr:rowOff>47625</xdr:rowOff>
        </xdr:from>
        <xdr:to>
          <xdr:col>7</xdr:col>
          <xdr:colOff>904875</xdr:colOff>
          <xdr:row>91</xdr:row>
          <xdr:rowOff>247650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92</xdr:row>
          <xdr:rowOff>47625</xdr:rowOff>
        </xdr:from>
        <xdr:to>
          <xdr:col>7</xdr:col>
          <xdr:colOff>904875</xdr:colOff>
          <xdr:row>92</xdr:row>
          <xdr:rowOff>247650</xdr:rowOff>
        </xdr:to>
        <xdr:sp macro="" textlink="">
          <xdr:nvSpPr>
            <xdr:cNvPr id="2063" name="Drop Dow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94</xdr:row>
          <xdr:rowOff>47625</xdr:rowOff>
        </xdr:from>
        <xdr:to>
          <xdr:col>7</xdr:col>
          <xdr:colOff>914400</xdr:colOff>
          <xdr:row>94</xdr:row>
          <xdr:rowOff>247650</xdr:rowOff>
        </xdr:to>
        <xdr:sp macro="" textlink="">
          <xdr:nvSpPr>
            <xdr:cNvPr id="2064" name="Drop Dow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95</xdr:row>
          <xdr:rowOff>47625</xdr:rowOff>
        </xdr:from>
        <xdr:to>
          <xdr:col>7</xdr:col>
          <xdr:colOff>914400</xdr:colOff>
          <xdr:row>95</xdr:row>
          <xdr:rowOff>247650</xdr:rowOff>
        </xdr:to>
        <xdr:sp macro="" textlink="">
          <xdr:nvSpPr>
            <xdr:cNvPr id="2065" name="Drop Dow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96</xdr:row>
          <xdr:rowOff>47625</xdr:rowOff>
        </xdr:from>
        <xdr:to>
          <xdr:col>7</xdr:col>
          <xdr:colOff>914400</xdr:colOff>
          <xdr:row>96</xdr:row>
          <xdr:rowOff>247650</xdr:rowOff>
        </xdr:to>
        <xdr:sp macro="" textlink="">
          <xdr:nvSpPr>
            <xdr:cNvPr id="2066" name="Drop Dow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97</xdr:row>
          <xdr:rowOff>47625</xdr:rowOff>
        </xdr:from>
        <xdr:to>
          <xdr:col>7</xdr:col>
          <xdr:colOff>923925</xdr:colOff>
          <xdr:row>97</xdr:row>
          <xdr:rowOff>247650</xdr:rowOff>
        </xdr:to>
        <xdr:sp macro="" textlink="">
          <xdr:nvSpPr>
            <xdr:cNvPr id="2067" name="Drop Dow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98</xdr:row>
          <xdr:rowOff>47625</xdr:rowOff>
        </xdr:from>
        <xdr:to>
          <xdr:col>7</xdr:col>
          <xdr:colOff>923925</xdr:colOff>
          <xdr:row>98</xdr:row>
          <xdr:rowOff>247650</xdr:rowOff>
        </xdr:to>
        <xdr:sp macro="" textlink="">
          <xdr:nvSpPr>
            <xdr:cNvPr id="2068" name="Drop Dow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100</xdr:row>
          <xdr:rowOff>47625</xdr:rowOff>
        </xdr:from>
        <xdr:to>
          <xdr:col>6</xdr:col>
          <xdr:colOff>409575</xdr:colOff>
          <xdr:row>100</xdr:row>
          <xdr:rowOff>247650</xdr:rowOff>
        </xdr:to>
        <xdr:sp macro="" textlink="">
          <xdr:nvSpPr>
            <xdr:cNvPr id="2069" name="Drop Dow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101</xdr:row>
          <xdr:rowOff>47625</xdr:rowOff>
        </xdr:from>
        <xdr:to>
          <xdr:col>6</xdr:col>
          <xdr:colOff>409575</xdr:colOff>
          <xdr:row>101</xdr:row>
          <xdr:rowOff>247650</xdr:rowOff>
        </xdr:to>
        <xdr:sp macro="" textlink="">
          <xdr:nvSpPr>
            <xdr:cNvPr id="2070" name="Drop Dow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102</xdr:row>
          <xdr:rowOff>47625</xdr:rowOff>
        </xdr:from>
        <xdr:to>
          <xdr:col>6</xdr:col>
          <xdr:colOff>409575</xdr:colOff>
          <xdr:row>102</xdr:row>
          <xdr:rowOff>247650</xdr:rowOff>
        </xdr:to>
        <xdr:sp macro="" textlink="">
          <xdr:nvSpPr>
            <xdr:cNvPr id="2071" name="Drop Dow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103</xdr:row>
          <xdr:rowOff>47625</xdr:rowOff>
        </xdr:from>
        <xdr:to>
          <xdr:col>6</xdr:col>
          <xdr:colOff>409575</xdr:colOff>
          <xdr:row>103</xdr:row>
          <xdr:rowOff>247650</xdr:rowOff>
        </xdr:to>
        <xdr:sp macro="" textlink="">
          <xdr:nvSpPr>
            <xdr:cNvPr id="2072" name="Drop Dow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100</xdr:row>
          <xdr:rowOff>47625</xdr:rowOff>
        </xdr:from>
        <xdr:to>
          <xdr:col>7</xdr:col>
          <xdr:colOff>923925</xdr:colOff>
          <xdr:row>100</xdr:row>
          <xdr:rowOff>247650</xdr:rowOff>
        </xdr:to>
        <xdr:sp macro="" textlink="">
          <xdr:nvSpPr>
            <xdr:cNvPr id="2073" name="Drop Dow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101</xdr:row>
          <xdr:rowOff>47625</xdr:rowOff>
        </xdr:from>
        <xdr:to>
          <xdr:col>7</xdr:col>
          <xdr:colOff>923925</xdr:colOff>
          <xdr:row>101</xdr:row>
          <xdr:rowOff>247650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102</xdr:row>
          <xdr:rowOff>47625</xdr:rowOff>
        </xdr:from>
        <xdr:to>
          <xdr:col>7</xdr:col>
          <xdr:colOff>923925</xdr:colOff>
          <xdr:row>102</xdr:row>
          <xdr:rowOff>247650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103</xdr:row>
          <xdr:rowOff>47625</xdr:rowOff>
        </xdr:from>
        <xdr:to>
          <xdr:col>7</xdr:col>
          <xdr:colOff>923925</xdr:colOff>
          <xdr:row>103</xdr:row>
          <xdr:rowOff>247650</xdr:rowOff>
        </xdr:to>
        <xdr:sp macro="" textlink="">
          <xdr:nvSpPr>
            <xdr:cNvPr id="2076" name="Drop Down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38100</xdr:rowOff>
        </xdr:from>
        <xdr:to>
          <xdr:col>6</xdr:col>
          <xdr:colOff>485775</xdr:colOff>
          <xdr:row>140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19050</xdr:rowOff>
        </xdr:from>
        <xdr:to>
          <xdr:col>6</xdr:col>
          <xdr:colOff>485775</xdr:colOff>
          <xdr:row>140</xdr:row>
          <xdr:rowOff>266700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19050</xdr:rowOff>
        </xdr:from>
        <xdr:to>
          <xdr:col>6</xdr:col>
          <xdr:colOff>485775</xdr:colOff>
          <xdr:row>141</xdr:row>
          <xdr:rowOff>266700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144</xdr:row>
          <xdr:rowOff>38100</xdr:rowOff>
        </xdr:from>
        <xdr:to>
          <xdr:col>3</xdr:col>
          <xdr:colOff>28575</xdr:colOff>
          <xdr:row>144</xdr:row>
          <xdr:rowOff>285750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145</xdr:row>
          <xdr:rowOff>38100</xdr:rowOff>
        </xdr:from>
        <xdr:to>
          <xdr:col>3</xdr:col>
          <xdr:colOff>28575</xdr:colOff>
          <xdr:row>146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146</xdr:row>
          <xdr:rowOff>19050</xdr:rowOff>
        </xdr:from>
        <xdr:to>
          <xdr:col>3</xdr:col>
          <xdr:colOff>28575</xdr:colOff>
          <xdr:row>146</xdr:row>
          <xdr:rowOff>266700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147</xdr:row>
          <xdr:rowOff>19050</xdr:rowOff>
        </xdr:from>
        <xdr:to>
          <xdr:col>3</xdr:col>
          <xdr:colOff>28575</xdr:colOff>
          <xdr:row>147</xdr:row>
          <xdr:rowOff>266700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148</xdr:row>
          <xdr:rowOff>19050</xdr:rowOff>
        </xdr:from>
        <xdr:to>
          <xdr:col>3</xdr:col>
          <xdr:colOff>28575</xdr:colOff>
          <xdr:row>148</xdr:row>
          <xdr:rowOff>266700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18</xdr:col>
      <xdr:colOff>8659</xdr:colOff>
      <xdr:row>14</xdr:row>
      <xdr:rowOff>138546</xdr:rowOff>
    </xdr:from>
    <xdr:to>
      <xdr:col>18</xdr:col>
      <xdr:colOff>170585</xdr:colOff>
      <xdr:row>15</xdr:row>
      <xdr:rowOff>24246</xdr:rowOff>
    </xdr:to>
    <xdr:pic>
      <xdr:nvPicPr>
        <xdr:cNvPr id="120" name="รูปภาพ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6826" t="49079" r="72289" b="49254"/>
        <a:stretch/>
      </xdr:blipFill>
      <xdr:spPr>
        <a:xfrm>
          <a:off x="13187795" y="3645478"/>
          <a:ext cx="161926" cy="171450"/>
        </a:xfrm>
        <a:prstGeom prst="rect">
          <a:avLst/>
        </a:prstGeom>
      </xdr:spPr>
    </xdr:pic>
    <xdr:clientData/>
  </xdr:twoCellAnchor>
  <xdr:twoCellAnchor>
    <xdr:from>
      <xdr:col>15</xdr:col>
      <xdr:colOff>614795</xdr:colOff>
      <xdr:row>14</xdr:row>
      <xdr:rowOff>129887</xdr:rowOff>
    </xdr:from>
    <xdr:to>
      <xdr:col>17</xdr:col>
      <xdr:colOff>72736</xdr:colOff>
      <xdr:row>15</xdr:row>
      <xdr:rowOff>84861</xdr:rowOff>
    </xdr:to>
    <xdr:cxnSp macro="">
      <xdr:nvCxnSpPr>
        <xdr:cNvPr id="121" name="ลูกศรเชื่อมต่อแบบตรง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CxnSpPr/>
      </xdr:nvCxnSpPr>
      <xdr:spPr>
        <a:xfrm flipV="1">
          <a:off x="12217977" y="3636819"/>
          <a:ext cx="349827" cy="240724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170585</xdr:colOff>
      <xdr:row>14</xdr:row>
      <xdr:rowOff>224271</xdr:rowOff>
    </xdr:from>
    <xdr:to>
      <xdr:col>18</xdr:col>
      <xdr:colOff>675409</xdr:colOff>
      <xdr:row>15</xdr:row>
      <xdr:rowOff>77933</xdr:rowOff>
    </xdr:to>
    <xdr:cxnSp macro="">
      <xdr:nvCxnSpPr>
        <xdr:cNvPr id="122" name="ลูกศรเชื่อมต่อแบบตรง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CxnSpPr>
          <a:endCxn id="120" idx="3"/>
        </xdr:cNvCxnSpPr>
      </xdr:nvCxnSpPr>
      <xdr:spPr>
        <a:xfrm flipH="1" flipV="1">
          <a:off x="13349721" y="3731203"/>
          <a:ext cx="504824" cy="139412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600074</xdr:colOff>
      <xdr:row>19</xdr:row>
      <xdr:rowOff>15787</xdr:rowOff>
    </xdr:from>
    <xdr:to>
      <xdr:col>24</xdr:col>
      <xdr:colOff>390525</xdr:colOff>
      <xdr:row>37</xdr:row>
      <xdr:rowOff>28575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9372599" y="7035712"/>
          <a:ext cx="3876676" cy="319413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คำอธิบาย</a:t>
          </a:r>
          <a:r>
            <a:rPr lang="th-TH" sz="1100" b="1" u="sng" baseline="0">
              <a:solidFill>
                <a:srgbClr val="0000CC"/>
              </a:solidFill>
            </a:rPr>
            <a:t> 1. การสอนบรรยายและคุมปฏิบัติการ</a:t>
          </a:r>
        </a:p>
        <a:p>
          <a:endParaRPr lang="th-TH" sz="1100" b="1" u="sng" baseline="0">
            <a:solidFill>
              <a:srgbClr val="0000CC"/>
            </a:solidFill>
          </a:endParaRPr>
        </a:p>
        <a:p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th-TH" sz="1100" b="0" u="none" baseline="0">
              <a:solidFill>
                <a:sysClr val="windowText" lastClr="000000"/>
              </a:solidFill>
            </a:rPr>
            <a:t>ให้กรอกภาระงานเป็นรายวิชาแยกตามกลุ่มเรียน (</a:t>
          </a:r>
          <a:r>
            <a:rPr lang="en-US" sz="1100" b="0" u="none" baseline="0">
              <a:solidFill>
                <a:sysClr val="windowText" lastClr="000000"/>
              </a:solidFill>
            </a:rPr>
            <a:t>Section)</a:t>
          </a:r>
          <a:r>
            <a:rPr lang="th-TH" sz="1100" b="0" u="none" baseline="0">
              <a:solidFill>
                <a:sysClr val="windowText" lastClr="000000"/>
              </a:solidFill>
            </a:rPr>
            <a:t> เพื่อให้การคิดคำนวณภาระงานเป็นไปด้วยความถูกต้อง เนื่องจาก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จำนวนนักศึกษาแต่ละ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Section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ไม่เท่ากัน </a:t>
          </a: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 b="0" u="none">
              <a:solidFill>
                <a:schemeClr val="tx1"/>
              </a:solidFill>
            </a:rPr>
            <a:t>     1. กรอกรหัสวิชาที่สอน</a:t>
          </a:r>
        </a:p>
        <a:p>
          <a:r>
            <a:rPr lang="th-TH" sz="1100" b="0" u="none">
              <a:solidFill>
                <a:schemeClr val="tx1"/>
              </a:solidFill>
            </a:rPr>
            <a:t>     2.</a:t>
          </a:r>
          <a:r>
            <a:rPr lang="th-TH" sz="1100" b="0" u="none" baseline="0">
              <a:solidFill>
                <a:schemeClr val="tx1"/>
              </a:solidFill>
            </a:rPr>
            <a:t> กรอกชื่อวิชา (ภาคการศึกษา) และกลุ่มวิชา ในช่องชื่อวิชา</a:t>
          </a:r>
        </a:p>
        <a:p>
          <a:r>
            <a:rPr lang="th-TH" sz="1100" b="0" u="none" baseline="0">
              <a:solidFill>
                <a:schemeClr val="tx1"/>
              </a:solidFill>
            </a:rPr>
            <a:t>         เช่น วิทยาศาสตร์ (1/2561) กลุ่ม 2</a:t>
          </a:r>
        </a:p>
        <a:p>
          <a:r>
            <a:rPr lang="th-TH" sz="1100" b="0" u="none" baseline="0">
              <a:solidFill>
                <a:schemeClr val="tx1"/>
              </a:solidFill>
            </a:rPr>
            <a:t>     3. กรอกจำนวนนักศึกษา </a:t>
          </a:r>
          <a:r>
            <a:rPr lang="th-TH" sz="1100" b="0" u="sng" baseline="0">
              <a:solidFill>
                <a:srgbClr val="FF0000"/>
              </a:solidFill>
            </a:rPr>
            <a:t>โดยเป็นจำนวนนักศึกษา</a:t>
          </a:r>
        </a:p>
        <a:p>
          <a:r>
            <a:rPr lang="th-TH" sz="1100" b="0" u="none" baseline="0">
              <a:solidFill>
                <a:srgbClr val="FF0000"/>
              </a:solidFill>
            </a:rPr>
            <a:t>         </a:t>
          </a:r>
          <a:r>
            <a:rPr lang="th-TH" sz="1100" b="0" u="sng" baseline="0">
              <a:solidFill>
                <a:srgbClr val="FF0000"/>
              </a:solidFill>
            </a:rPr>
            <a:t>ณ วันสุดท้ายของการเพิ่ม/ถอนรายวิชา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4. กรอกจำนวนชั่วโมงทำงานจริง/ภาคการศึกษา 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 โดยคิดจาก</a:t>
          </a:r>
          <a:r>
            <a:rPr lang="en-US" sz="1100" b="0" u="none" baseline="0">
              <a:solidFill>
                <a:sysClr val="windowText" lastClr="000000"/>
              </a:solidFill>
            </a:rPr>
            <a:t> </a:t>
          </a:r>
          <a:r>
            <a:rPr lang="th-TH" sz="1100" b="0" u="sng" baseline="0">
              <a:solidFill>
                <a:srgbClr val="FF0000"/>
              </a:solidFill>
            </a:rPr>
            <a:t>จำนวนชั่วโมงบรรยาย 1 </a:t>
          </a:r>
          <a:r>
            <a:rPr lang="en-US" sz="1100" b="0" u="sng" baseline="0">
              <a:solidFill>
                <a:srgbClr val="FF0000"/>
              </a:solidFill>
            </a:rPr>
            <a:t>Section x 15 </a:t>
          </a:r>
          <a:endParaRPr lang="th-TH" sz="1100" b="0" u="sng" baseline="0">
            <a:solidFill>
              <a:srgbClr val="FF0000"/>
            </a:solidFill>
          </a:endParaRP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 เช่น รายวิชา ก มีจำนวนชั่วโมงบรรยายต่อ 1 </a:t>
          </a:r>
          <a:r>
            <a:rPr lang="en-US" sz="1100" b="0" u="none" baseline="0">
              <a:solidFill>
                <a:sysClr val="windowText" lastClr="000000"/>
              </a:solidFill>
            </a:rPr>
            <a:t>Section</a:t>
          </a:r>
          <a:endParaRPr lang="th-TH" sz="1100" b="0" u="none" baseline="0">
            <a:solidFill>
              <a:sysClr val="windowText" lastClr="000000"/>
            </a:solidFill>
          </a:endParaRP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</a:t>
          </a:r>
          <a:r>
            <a:rPr lang="en-US" sz="1100" b="0" u="none" baseline="0">
              <a:solidFill>
                <a:sysClr val="windowText" lastClr="000000"/>
              </a:solidFill>
            </a:rPr>
            <a:t> </a:t>
          </a:r>
          <a:r>
            <a:rPr lang="th-TH" sz="1100" b="0" u="none" baseline="0">
              <a:solidFill>
                <a:sysClr val="windowText" lastClr="000000"/>
              </a:solidFill>
            </a:rPr>
            <a:t>เท่ากับ 3 ชั่วโมง ดังนั้น จำนวนชั่วโมงทำงานจริง/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ภาคการศึกษา ที่จะกรอกข้อมูล คือ 45</a:t>
          </a:r>
          <a:r>
            <a:rPr lang="en-US" sz="1100" b="0" u="none" baseline="0">
              <a:solidFill>
                <a:sysClr val="windowText" lastClr="000000"/>
              </a:solidFill>
            </a:rPr>
            <a:t>  (3 x 15)</a:t>
          </a:r>
          <a:endParaRPr lang="th-TH" sz="1100" b="0" u="none" baseline="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ysClr val="windowText" lastClr="000000"/>
              </a:solidFill>
            </a:rPr>
            <a:t>     5. กรณีเป็นผู้ประสานงานรายวิชา </a:t>
          </a:r>
          <a:r>
            <a:rPr lang="th-TH" sz="1100" b="0" u="sng" baseline="0">
              <a:solidFill>
                <a:srgbClr val="FF0000"/>
              </a:solidFill>
            </a:rPr>
            <a:t>ทั้ง</a:t>
          </a:r>
          <a:r>
            <a:rPr lang="th-TH" sz="1100" b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ในรายวิชาที่สอนและ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rgbClr val="FF0000"/>
              </a:solidFill>
              <a:latin typeface="+mn-lt"/>
              <a:ea typeface="+mn-ea"/>
              <a:cs typeface="+mn-cs"/>
            </a:rPr>
            <a:t>         </a:t>
          </a:r>
          <a:r>
            <a:rPr lang="th-TH" sz="1100" b="0" u="sng" baseline="0">
              <a:solidFill>
                <a:srgbClr val="FF0000"/>
              </a:solidFill>
            </a:rPr>
            <a:t>ไม่ได้เป็นผู้สอนในรายวิชานั้น</a:t>
          </a:r>
          <a:r>
            <a:rPr lang="th-TH" sz="1100" b="0" u="none" baseline="0">
              <a:solidFill>
                <a:sysClr val="windowText" lastClr="000000"/>
              </a:solidFill>
            </a:rPr>
            <a:t> ให้กรอกข้อมูลในข้อที่ 1.6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ysClr val="windowText" lastClr="000000"/>
              </a:solidFill>
            </a:rPr>
            <a:t>         </a:t>
          </a:r>
          <a:r>
            <a:rPr lang="th-TH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โดยจะคิดค่าถ่วงน้ำหนักเพิ่มขึ้นอีกร้อยละ 10 ของชั่วโมง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ทำการจริงที่ทำงานเป็นผู้ประสานงาน/ภาคการศึกษา</a:t>
          </a:r>
          <a:endParaRPr lang="th-TH"/>
        </a:p>
      </xdr:txBody>
    </xdr:sp>
    <xdr:clientData/>
  </xdr:twoCellAnchor>
  <xdr:twoCellAnchor>
    <xdr:from>
      <xdr:col>12</xdr:col>
      <xdr:colOff>95250</xdr:colOff>
      <xdr:row>5</xdr:row>
      <xdr:rowOff>0</xdr:rowOff>
    </xdr:from>
    <xdr:to>
      <xdr:col>24</xdr:col>
      <xdr:colOff>285751</xdr:colOff>
      <xdr:row>9</xdr:row>
      <xdr:rowOff>269032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9477375" y="981075"/>
          <a:ext cx="3667126" cy="158348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การกรอกภาระงานสอนเชิงคุณภาพ</a:t>
          </a:r>
        </a:p>
        <a:p>
          <a:endParaRPr lang="th-TH" sz="1100" b="0" u="none"/>
        </a:p>
        <a:p>
          <a:r>
            <a:rPr lang="th-TH" sz="1100" b="0" u="none"/>
            <a:t>ข้อที่ 1-3 และ 5 ให้คลิกที่ช่อง </a:t>
          </a:r>
          <a:r>
            <a:rPr lang="th-TH" sz="1100" b="0" u="none">
              <a:sym typeface="Wingdings"/>
            </a:rPr>
            <a:t></a:t>
          </a:r>
          <a:r>
            <a:rPr lang="th-TH" sz="1100" b="0" u="none">
              <a:cs typeface="+mn-cs"/>
              <a:sym typeface="Wingdings"/>
            </a:rPr>
            <a:t> </a:t>
          </a:r>
          <a:r>
            <a:rPr lang="th-TH" sz="1100" b="0" u="none">
              <a:sym typeface="Wingdings"/>
            </a:rPr>
            <a:t>เพื่อทำเครื่องหมายถูกในภาระงานที่มีการดำเนินงาน</a:t>
          </a:r>
        </a:p>
        <a:p>
          <a:endParaRPr lang="th-TH" sz="1100" b="0" u="none">
            <a:sym typeface="Wingdings"/>
          </a:endParaRPr>
        </a:p>
        <a:p>
          <a:r>
            <a:rPr lang="th-TH" sz="1100" b="0" u="none">
              <a:sym typeface="Wingdings"/>
            </a:rPr>
            <a:t>ข้อที่ 4 ให้กรอกรายละเอียดภาระงานในภาระงานสอนเชิงปริมาณ </a:t>
          </a:r>
          <a:r>
            <a:rPr lang="en-US" sz="1100" b="0" u="none">
              <a:sym typeface="Wingdings"/>
            </a:rPr>
            <a:t>"</a:t>
          </a:r>
          <a:r>
            <a:rPr lang="th-TH" sz="1100" b="0" u="none">
              <a:sym typeface="Wingdings"/>
            </a:rPr>
            <a:t>ข้อ</a:t>
          </a:r>
          <a:r>
            <a:rPr lang="th-TH" sz="1100" b="0" u="none" baseline="0">
              <a:sym typeface="Wingdings"/>
            </a:rPr>
            <a:t> </a:t>
          </a:r>
          <a:r>
            <a:rPr lang="en-US" sz="1100" b="0" u="none">
              <a:sym typeface="Wingdings"/>
            </a:rPr>
            <a:t>7 </a:t>
          </a:r>
          <a:r>
            <a:rPr lang="th-TH" sz="1100" b="0" u="none">
              <a:sym typeface="Wingdings"/>
            </a:rPr>
            <a:t>ผลงานวิชาการ</a:t>
          </a:r>
          <a:r>
            <a:rPr lang="th-TH" sz="1100" b="0" u="none" baseline="0">
              <a:sym typeface="Wingdings"/>
            </a:rPr>
            <a:t> (ด้านการเรียนการสอน)</a:t>
          </a:r>
          <a:r>
            <a:rPr lang="en-US" sz="1100" b="0" u="none" baseline="0">
              <a:sym typeface="Wingdings"/>
            </a:rPr>
            <a:t>"</a:t>
          </a:r>
          <a:r>
            <a:rPr lang="th-TH" sz="1100" b="0" u="none" baseline="0">
              <a:sym typeface="Wingdings"/>
            </a:rPr>
            <a:t> โปรแกรมจะทำการนับภาระงานให้อัตโนมัติ</a:t>
          </a:r>
          <a:endParaRPr lang="th-TH" sz="1100" b="0" u="none"/>
        </a:p>
      </xdr:txBody>
    </xdr:sp>
    <xdr:clientData/>
  </xdr:twoCellAnchor>
  <xdr:twoCellAnchor>
    <xdr:from>
      <xdr:col>12</xdr:col>
      <xdr:colOff>114300</xdr:colOff>
      <xdr:row>10</xdr:row>
      <xdr:rowOff>157662</xdr:rowOff>
    </xdr:from>
    <xdr:to>
      <xdr:col>24</xdr:col>
      <xdr:colOff>318721</xdr:colOff>
      <xdr:row>16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9496425" y="2796087"/>
          <a:ext cx="3681046" cy="258553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การกรอกภาระงานสอนเชิงปริมาณ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วว/ดด/ปีพ.ศ. เช่น</a:t>
          </a:r>
        </a:p>
        <a:p>
          <a:r>
            <a:rPr lang="th-TH" sz="1100" b="0" u="none" baseline="0"/>
            <a:t>  02/06/2559</a:t>
          </a:r>
        </a:p>
      </xdr:txBody>
    </xdr:sp>
    <xdr:clientData/>
  </xdr:twoCellAnchor>
  <xdr:twoCellAnchor editAs="oneCell">
    <xdr:from>
      <xdr:col>19</xdr:col>
      <xdr:colOff>563440</xdr:colOff>
      <xdr:row>13</xdr:row>
      <xdr:rowOff>514350</xdr:rowOff>
    </xdr:from>
    <xdr:to>
      <xdr:col>21</xdr:col>
      <xdr:colOff>288948</xdr:colOff>
      <xdr:row>13</xdr:row>
      <xdr:rowOff>685800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10555165" y="4295775"/>
          <a:ext cx="944708" cy="171450"/>
        </a:xfrm>
        <a:prstGeom prst="rect">
          <a:avLst/>
        </a:prstGeom>
      </xdr:spPr>
    </xdr:pic>
    <xdr:clientData/>
  </xdr:twoCellAnchor>
  <xdr:twoCellAnchor>
    <xdr:from>
      <xdr:col>19</xdr:col>
      <xdr:colOff>209550</xdr:colOff>
      <xdr:row>13</xdr:row>
      <xdr:rowOff>561975</xdr:rowOff>
    </xdr:from>
    <xdr:to>
      <xdr:col>20</xdr:col>
      <xdr:colOff>76200</xdr:colOff>
      <xdr:row>13</xdr:row>
      <xdr:rowOff>752475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 flipV="1">
          <a:off x="10201275" y="4343400"/>
          <a:ext cx="476250" cy="19050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288948</xdr:colOff>
      <xdr:row>13</xdr:row>
      <xdr:rowOff>600075</xdr:rowOff>
    </xdr:from>
    <xdr:to>
      <xdr:col>22</xdr:col>
      <xdr:colOff>2</xdr:colOff>
      <xdr:row>13</xdr:row>
      <xdr:rowOff>742951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>
          <a:endCxn id="12" idx="3"/>
        </xdr:cNvCxnSpPr>
      </xdr:nvCxnSpPr>
      <xdr:spPr>
        <a:xfrm flipH="1" flipV="1">
          <a:off x="11499873" y="4381500"/>
          <a:ext cx="320654" cy="142876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7</xdr:row>
          <xdr:rowOff>57150</xdr:rowOff>
        </xdr:from>
        <xdr:to>
          <xdr:col>9</xdr:col>
          <xdr:colOff>609600</xdr:colOff>
          <xdr:row>7</xdr:row>
          <xdr:rowOff>285750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9</xdr:row>
          <xdr:rowOff>57150</xdr:rowOff>
        </xdr:from>
        <xdr:to>
          <xdr:col>9</xdr:col>
          <xdr:colOff>609600</xdr:colOff>
          <xdr:row>9</xdr:row>
          <xdr:rowOff>285750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</xdr:row>
          <xdr:rowOff>76200</xdr:rowOff>
        </xdr:from>
        <xdr:to>
          <xdr:col>9</xdr:col>
          <xdr:colOff>609600</xdr:colOff>
          <xdr:row>10</xdr:row>
          <xdr:rowOff>304800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</xdr:row>
          <xdr:rowOff>66675</xdr:rowOff>
        </xdr:from>
        <xdr:to>
          <xdr:col>9</xdr:col>
          <xdr:colOff>609600</xdr:colOff>
          <xdr:row>11</xdr:row>
          <xdr:rowOff>295275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14</xdr:row>
          <xdr:rowOff>57150</xdr:rowOff>
        </xdr:from>
        <xdr:to>
          <xdr:col>9</xdr:col>
          <xdr:colOff>609600</xdr:colOff>
          <xdr:row>14</xdr:row>
          <xdr:rowOff>285750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8</xdr:row>
          <xdr:rowOff>57150</xdr:rowOff>
        </xdr:from>
        <xdr:to>
          <xdr:col>9</xdr:col>
          <xdr:colOff>609600</xdr:colOff>
          <xdr:row>8</xdr:row>
          <xdr:rowOff>285750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</xdr:row>
          <xdr:rowOff>66675</xdr:rowOff>
        </xdr:from>
        <xdr:to>
          <xdr:col>9</xdr:col>
          <xdr:colOff>609600</xdr:colOff>
          <xdr:row>12</xdr:row>
          <xdr:rowOff>295275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47625</xdr:colOff>
      <xdr:row>3</xdr:row>
      <xdr:rowOff>171449</xdr:rowOff>
    </xdr:from>
    <xdr:to>
      <xdr:col>30</xdr:col>
      <xdr:colOff>498475</xdr:colOff>
      <xdr:row>13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1745575" y="819149"/>
          <a:ext cx="3498850" cy="219392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การกรอกภาระงานวิจัยและงานวิชาการอื่นเชิงคุณภาพ</a:t>
          </a:r>
        </a:p>
        <a:p>
          <a:endParaRPr lang="th-TH" sz="1100" b="0" u="none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/>
            <a:t>ข้อที่ 1 ให้กรอกรายละเอียดภาระงาน ในภาระงานวิจัยและงานวิชาการอื่นเชิงปริมาณ</a:t>
          </a:r>
          <a:r>
            <a:rPr lang="th-TH" sz="1100" b="0" u="none" baseline="0"/>
            <a:t> </a:t>
          </a:r>
          <a:r>
            <a:rPr lang="en-US" sz="1100" b="0" u="none" baseline="0"/>
            <a:t>"</a:t>
          </a:r>
          <a:r>
            <a:rPr lang="th-TH" sz="1100" b="0" u="none" baseline="0"/>
            <a:t>ข้อ 1 งานวิจัยที่กำลังดำเนินงาน</a:t>
          </a:r>
          <a:r>
            <a:rPr lang="en-US" sz="1100" b="0" u="none" baseline="0"/>
            <a:t>" 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โปรแกรมจะทำการนับภาระงานให้อัตโนมัติ</a:t>
          </a:r>
          <a:endParaRPr lang="th-TH">
            <a:effectLst/>
          </a:endParaRPr>
        </a:p>
        <a:p>
          <a:endParaRPr lang="th-TH" sz="1100" b="0" u="none">
            <a:sym typeface="Wingding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ข้อที่ 2 ให้กรอกรายละเอีบดภาระงาน ในภาระงานวิจัยและงานวิชาการอื่นเชิงปริมาณ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 2 ผลงานทางวิชาการ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โปรแกรมจะทำการนับภาระงานให้อัตโนมัติ</a:t>
          </a:r>
          <a:endParaRPr lang="th-TH">
            <a:effectLst/>
          </a:endParaRPr>
        </a:p>
        <a:p>
          <a:pPr eaLnBrk="1" fontAlgn="auto" latinLnBrk="0" hangingPunct="1"/>
          <a:endParaRPr lang="th-TH">
            <a:effectLst/>
          </a:endParaRPr>
        </a:p>
      </xdr:txBody>
    </xdr:sp>
    <xdr:clientData/>
  </xdr:twoCellAnchor>
  <xdr:twoCellAnchor>
    <xdr:from>
      <xdr:col>25</xdr:col>
      <xdr:colOff>47625</xdr:colOff>
      <xdr:row>15</xdr:row>
      <xdr:rowOff>219075</xdr:rowOff>
    </xdr:from>
    <xdr:to>
      <xdr:col>30</xdr:col>
      <xdr:colOff>571501</xdr:colOff>
      <xdr:row>31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1745575" y="3714750"/>
          <a:ext cx="3571876" cy="265747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</a:t>
          </a:r>
          <a:r>
            <a:rPr lang="th-TH" sz="1100" b="1" u="sng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งานวิจัยและงานวิชาการอื่น</a:t>
          </a:r>
          <a:r>
            <a:rPr lang="th-TH" sz="1100" b="1" u="sng">
              <a:solidFill>
                <a:srgbClr val="0000CC"/>
              </a:solidFill>
            </a:rPr>
            <a:t>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ว/ด/ปีพ.ศ. เช่น</a:t>
          </a:r>
        </a:p>
        <a:p>
          <a:r>
            <a:rPr lang="th-TH" sz="1100" b="0" u="none" baseline="0"/>
            <a:t>  22/6/2559</a:t>
          </a:r>
        </a:p>
      </xdr:txBody>
    </xdr:sp>
    <xdr:clientData/>
  </xdr:twoCellAnchor>
  <xdr:twoCellAnchor editAs="oneCell">
    <xdr:from>
      <xdr:col>26</xdr:col>
      <xdr:colOff>349250</xdr:colOff>
      <xdr:row>23</xdr:row>
      <xdr:rowOff>114300</xdr:rowOff>
    </xdr:from>
    <xdr:to>
      <xdr:col>28</xdr:col>
      <xdr:colOff>79374</xdr:colOff>
      <xdr:row>24</xdr:row>
      <xdr:rowOff>123825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22656800" y="5181600"/>
          <a:ext cx="949324" cy="171450"/>
        </a:xfrm>
        <a:prstGeom prst="rect">
          <a:avLst/>
        </a:prstGeom>
      </xdr:spPr>
    </xdr:pic>
    <xdr:clientData/>
  </xdr:twoCellAnchor>
  <xdr:twoCellAnchor>
    <xdr:from>
      <xdr:col>26</xdr:col>
      <xdr:colOff>79375</xdr:colOff>
      <xdr:row>24</xdr:row>
      <xdr:rowOff>57151</xdr:rowOff>
    </xdr:from>
    <xdr:to>
      <xdr:col>26</xdr:col>
      <xdr:colOff>492125</xdr:colOff>
      <xdr:row>25</xdr:row>
      <xdr:rowOff>114300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 flipV="1">
          <a:off x="22386925" y="5286376"/>
          <a:ext cx="412750" cy="219074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79375</xdr:colOff>
      <xdr:row>24</xdr:row>
      <xdr:rowOff>38100</xdr:rowOff>
    </xdr:from>
    <xdr:to>
      <xdr:col>28</xdr:col>
      <xdr:colOff>400050</xdr:colOff>
      <xdr:row>25</xdr:row>
      <xdr:rowOff>47625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>
          <a:endCxn id="4" idx="3"/>
        </xdr:cNvCxnSpPr>
      </xdr:nvCxnSpPr>
      <xdr:spPr>
        <a:xfrm flipH="1" flipV="1">
          <a:off x="23606125" y="5267325"/>
          <a:ext cx="320675" cy="17145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5</xdr:row>
      <xdr:rowOff>9525</xdr:rowOff>
    </xdr:from>
    <xdr:to>
      <xdr:col>24</xdr:col>
      <xdr:colOff>571500</xdr:colOff>
      <xdr:row>9</xdr:row>
      <xdr:rowOff>86591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5916275" y="781050"/>
          <a:ext cx="4486275" cy="142961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การกรอกภาระงานบริการวิชาการเชิงคุณภาพ</a:t>
          </a:r>
        </a:p>
        <a:p>
          <a:endParaRPr lang="th-TH" sz="1100" b="0" u="none"/>
        </a:p>
        <a:p>
          <a:r>
            <a:rPr lang="th-TH" sz="1100" b="0" u="none">
              <a:sym typeface="Wingdings"/>
            </a:rPr>
            <a:t>ข้อที่ </a:t>
          </a:r>
          <a:r>
            <a:rPr lang="en-US" sz="1100" b="0" u="none">
              <a:sym typeface="Wingdings"/>
            </a:rPr>
            <a:t>1</a:t>
          </a:r>
          <a:r>
            <a:rPr lang="th-TH" sz="1100" b="0" u="none">
              <a:sym typeface="Wingdings"/>
            </a:rPr>
            <a:t> ในกรณีที่มีภาระงานบริการวิชาการเชิงปริมาณ</a:t>
          </a:r>
          <a:r>
            <a:rPr lang="en-US" sz="1100" b="0" u="none">
              <a:sym typeface="Wingdings"/>
            </a:rPr>
            <a:t> </a:t>
          </a:r>
          <a:r>
            <a:rPr lang="th-TH" sz="1100" b="0" u="none" baseline="0">
              <a:sym typeface="Wingdings"/>
            </a:rPr>
            <a:t>(นับทุกหัวข้อ)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ให้กรอกวันที่ที่ได้ปฏิบัติงาน</a:t>
          </a:r>
          <a:r>
            <a:rPr lang="th-TH" sz="1100" b="0" u="none" baseline="0">
              <a:sym typeface="Wingdings"/>
            </a:rPr>
            <a:t> หากอยู่</a:t>
          </a:r>
          <a:r>
            <a:rPr lang="th-TH" sz="1100" b="0" u="none">
              <a:sym typeface="Wingdings"/>
            </a:rPr>
            <a:t>ในช่วงระยะเวลาที่กำหนด (ในรอบการประเมิน)</a:t>
          </a:r>
          <a:r>
            <a:rPr lang="en-US" sz="1100" b="0" u="none">
              <a:sym typeface="Wingdings"/>
            </a:rPr>
            <a:t> </a:t>
          </a:r>
          <a:r>
            <a:rPr lang="th-TH" sz="1100" b="0" u="none">
              <a:sym typeface="Wingdings"/>
            </a:rPr>
            <a:t>โปรแกรมจะนับภาระงานให้อัตโนมัติ</a:t>
          </a:r>
          <a:endParaRPr lang="en-US" sz="1100" b="0" u="none" baseline="0">
            <a:sym typeface="Wingdings"/>
          </a:endParaRPr>
        </a:p>
        <a:p>
          <a:endParaRPr lang="en-US" sz="1100" b="0" u="none" baseline="0">
            <a:sym typeface="Wingding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ข้อที่ 2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ให้คลิกที่ช่อง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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เพื่อทำเครื่องหมายถูกในภาระงานที่มีการดำเนินงาน</a:t>
          </a:r>
          <a:endParaRPr lang="th-TH">
            <a:effectLst/>
          </a:endParaRPr>
        </a:p>
        <a:p>
          <a:endParaRPr lang="th-TH" sz="1100" b="0" u="none"/>
        </a:p>
      </xdr:txBody>
    </xdr:sp>
    <xdr:clientData/>
  </xdr:twoCellAnchor>
  <xdr:twoCellAnchor>
    <xdr:from>
      <xdr:col>18</xdr:col>
      <xdr:colOff>200025</xdr:colOff>
      <xdr:row>12</xdr:row>
      <xdr:rowOff>19050</xdr:rowOff>
    </xdr:from>
    <xdr:to>
      <xdr:col>24</xdr:col>
      <xdr:colOff>590550</xdr:colOff>
      <xdr:row>27</xdr:row>
      <xdr:rowOff>2382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15916275" y="3019425"/>
          <a:ext cx="4505325" cy="273605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การกรอกภาระงานบริการวิชาการเชิงปริมาณ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 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ว/ด/ปีพ.ศ. เช่น</a:t>
          </a:r>
        </a:p>
        <a:p>
          <a:r>
            <a:rPr lang="th-TH" sz="1100" b="0" u="none" baseline="0"/>
            <a:t>  22/6/2559</a:t>
          </a:r>
        </a:p>
      </xdr:txBody>
    </xdr:sp>
    <xdr:clientData/>
  </xdr:twoCellAnchor>
  <xdr:twoCellAnchor editAs="oneCell">
    <xdr:from>
      <xdr:col>20</xdr:col>
      <xdr:colOff>109105</xdr:colOff>
      <xdr:row>19</xdr:row>
      <xdr:rowOff>134216</xdr:rowOff>
    </xdr:from>
    <xdr:to>
      <xdr:col>21</xdr:col>
      <xdr:colOff>365631</xdr:colOff>
      <xdr:row>20</xdr:row>
      <xdr:rowOff>150885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17196955" y="4458566"/>
          <a:ext cx="942326" cy="178594"/>
        </a:xfrm>
        <a:prstGeom prst="rect">
          <a:avLst/>
        </a:prstGeom>
      </xdr:spPr>
    </xdr:pic>
    <xdr:clientData/>
  </xdr:twoCellAnchor>
  <xdr:twoCellAnchor>
    <xdr:from>
      <xdr:col>19</xdr:col>
      <xdr:colOff>582974</xdr:colOff>
      <xdr:row>20</xdr:row>
      <xdr:rowOff>96118</xdr:rowOff>
    </xdr:from>
    <xdr:to>
      <xdr:col>20</xdr:col>
      <xdr:colOff>306749</xdr:colOff>
      <xdr:row>21</xdr:row>
      <xdr:rowOff>158029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 flipV="1">
          <a:off x="16985024" y="4582393"/>
          <a:ext cx="409575" cy="223836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365632</xdr:colOff>
      <xdr:row>20</xdr:row>
      <xdr:rowOff>62779</xdr:rowOff>
    </xdr:from>
    <xdr:to>
      <xdr:col>22</xdr:col>
      <xdr:colOff>11475</xdr:colOff>
      <xdr:row>21</xdr:row>
      <xdr:rowOff>98497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>
          <a:endCxn id="4" idx="3"/>
        </xdr:cNvCxnSpPr>
      </xdr:nvCxnSpPr>
      <xdr:spPr>
        <a:xfrm flipH="1" flipV="1">
          <a:off x="18139282" y="4549054"/>
          <a:ext cx="331643" cy="197643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8</xdr:row>
          <xdr:rowOff>95250</xdr:rowOff>
        </xdr:from>
        <xdr:to>
          <xdr:col>8</xdr:col>
          <xdr:colOff>714375</xdr:colOff>
          <xdr:row>8</xdr:row>
          <xdr:rowOff>314325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9</xdr:row>
          <xdr:rowOff>95250</xdr:rowOff>
        </xdr:from>
        <xdr:to>
          <xdr:col>8</xdr:col>
          <xdr:colOff>714375</xdr:colOff>
          <xdr:row>9</xdr:row>
          <xdr:rowOff>314325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7</xdr:row>
      <xdr:rowOff>1</xdr:rowOff>
    </xdr:from>
    <xdr:to>
      <xdr:col>15</xdr:col>
      <xdr:colOff>230982</xdr:colOff>
      <xdr:row>14</xdr:row>
      <xdr:rowOff>47626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8829675" y="1543051"/>
          <a:ext cx="3802857" cy="12192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การกรอกภาระงานทำนุบำรุงศิลปวัฒนธรรมเชิงปริมาณ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42335</xdr:colOff>
      <xdr:row>3</xdr:row>
      <xdr:rowOff>137584</xdr:rowOff>
    </xdr:from>
    <xdr:to>
      <xdr:col>14</xdr:col>
      <xdr:colOff>592668</xdr:colOff>
      <xdr:row>10</xdr:row>
      <xdr:rowOff>116417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195860" y="785284"/>
          <a:ext cx="3598333" cy="1236133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การกรอกภาระงานอื่น</a:t>
          </a:r>
          <a:r>
            <a:rPr lang="th-TH" sz="1100" b="1" u="sng" baseline="0">
              <a:solidFill>
                <a:srgbClr val="0000CC"/>
              </a:solidFill>
            </a:rPr>
            <a:t> ๆ </a:t>
          </a:r>
          <a:r>
            <a:rPr lang="th-TH" sz="1100" b="1" u="sng">
              <a:solidFill>
                <a:srgbClr val="0000CC"/>
              </a:solidFill>
            </a:rPr>
            <a:t>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  <a:endParaRPr lang="en-US" sz="1100" b="0" u="none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100" b="0" u="none" baseline="0"/>
        </a:p>
        <a:p>
          <a:endParaRPr lang="th-TH" sz="1100" b="0" u="none" baseline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S\2560\2_60\APS_2_2560\APS_v.3.0_25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ชี้แจง"/>
      <sheetName val="แบบข้อตกลง(TOR)"/>
      <sheetName val="แบบประเมิน(ป.วช-02)"/>
      <sheetName val="สรุปภาระงาน"/>
      <sheetName val="1. สอน"/>
      <sheetName val="2. วิจัยและงานวิชาการอื่น"/>
      <sheetName val="3 ภาระงานบริการวิชาการ"/>
      <sheetName val="4 ทำนุบำรุงศิลปะ"/>
      <sheetName val="5 ภาระงานอื่น"/>
      <sheetName val="TypeTable"/>
      <sheetName val="Sheet1"/>
      <sheetName val="ภาระงานยุทธศาสตร์"/>
      <sheetName val="น้ำหนักบริหาร"/>
      <sheetName val="APS_v.3.0_256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18" Type="http://schemas.openxmlformats.org/officeDocument/2006/relationships/ctrlProp" Target="../ctrlProps/ctrlProp29.xml"/><Relationship Id="rId26" Type="http://schemas.openxmlformats.org/officeDocument/2006/relationships/ctrlProp" Target="../ctrlProps/ctrlProp37.xml"/><Relationship Id="rId39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2.xml"/><Relationship Id="rId34" Type="http://schemas.openxmlformats.org/officeDocument/2006/relationships/ctrlProp" Target="../ctrlProps/ctrlProp45.x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5" Type="http://schemas.openxmlformats.org/officeDocument/2006/relationships/ctrlProp" Target="../ctrlProps/ctrlProp36.xml"/><Relationship Id="rId33" Type="http://schemas.openxmlformats.org/officeDocument/2006/relationships/ctrlProp" Target="../ctrlProps/ctrlProp44.xml"/><Relationship Id="rId38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20" Type="http://schemas.openxmlformats.org/officeDocument/2006/relationships/ctrlProp" Target="../ctrlProps/ctrlProp31.xml"/><Relationship Id="rId29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24" Type="http://schemas.openxmlformats.org/officeDocument/2006/relationships/ctrlProp" Target="../ctrlProps/ctrlProp35.xml"/><Relationship Id="rId32" Type="http://schemas.openxmlformats.org/officeDocument/2006/relationships/ctrlProp" Target="../ctrlProps/ctrlProp43.xml"/><Relationship Id="rId37" Type="http://schemas.openxmlformats.org/officeDocument/2006/relationships/ctrlProp" Target="../ctrlProps/ctrlProp48.xml"/><Relationship Id="rId40" Type="http://schemas.openxmlformats.org/officeDocument/2006/relationships/comments" Target="../comments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23" Type="http://schemas.openxmlformats.org/officeDocument/2006/relationships/ctrlProp" Target="../ctrlProps/ctrlProp34.xml"/><Relationship Id="rId28" Type="http://schemas.openxmlformats.org/officeDocument/2006/relationships/ctrlProp" Target="../ctrlProps/ctrlProp39.xml"/><Relationship Id="rId36" Type="http://schemas.openxmlformats.org/officeDocument/2006/relationships/ctrlProp" Target="../ctrlProps/ctrlProp47.xml"/><Relationship Id="rId10" Type="http://schemas.openxmlformats.org/officeDocument/2006/relationships/ctrlProp" Target="../ctrlProps/ctrlProp21.xml"/><Relationship Id="rId19" Type="http://schemas.openxmlformats.org/officeDocument/2006/relationships/ctrlProp" Target="../ctrlProps/ctrlProp30.xml"/><Relationship Id="rId31" Type="http://schemas.openxmlformats.org/officeDocument/2006/relationships/ctrlProp" Target="../ctrlProps/ctrlProp42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Relationship Id="rId22" Type="http://schemas.openxmlformats.org/officeDocument/2006/relationships/ctrlProp" Target="../ctrlProps/ctrlProp33.xml"/><Relationship Id="rId27" Type="http://schemas.openxmlformats.org/officeDocument/2006/relationships/ctrlProp" Target="../ctrlProps/ctrlProp38.xml"/><Relationship Id="rId30" Type="http://schemas.openxmlformats.org/officeDocument/2006/relationships/ctrlProp" Target="../ctrlProps/ctrlProp41.xml"/><Relationship Id="rId35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3.xml"/><Relationship Id="rId11" Type="http://schemas.openxmlformats.org/officeDocument/2006/relationships/comments" Target="../comments4.xml"/><Relationship Id="rId5" Type="http://schemas.openxmlformats.org/officeDocument/2006/relationships/ctrlProp" Target="../ctrlProps/ctrlProp52.xml"/><Relationship Id="rId10" Type="http://schemas.openxmlformats.org/officeDocument/2006/relationships/ctrlProp" Target="../ctrlProps/ctrlProp5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personnel.mju.ac.th/edoc/forms/13939.pdf" TargetMode="External"/><Relationship Id="rId7" Type="http://schemas.openxmlformats.org/officeDocument/2006/relationships/comments" Target="../comments5.xml"/><Relationship Id="rId2" Type="http://schemas.openxmlformats.org/officeDocument/2006/relationships/hyperlink" Target="http://personnel.mju.ac.th/edoc/forms/17188.pdf" TargetMode="External"/><Relationship Id="rId1" Type="http://schemas.openxmlformats.org/officeDocument/2006/relationships/hyperlink" Target="http://personnel.mju.ac.th/edoc/forms/17188.pdf" TargetMode="External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6.xml"/><Relationship Id="rId5" Type="http://schemas.openxmlformats.org/officeDocument/2006/relationships/ctrlProp" Target="../ctrlProps/ctrlProp59.xml"/><Relationship Id="rId4" Type="http://schemas.openxmlformats.org/officeDocument/2006/relationships/ctrlProp" Target="../ctrlProps/ctrlProp5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tabColor theme="3" tint="0.39997558519241921"/>
  </sheetPr>
  <dimension ref="A1:Q37"/>
  <sheetViews>
    <sheetView showGridLines="0" zoomScaleNormal="100" workbookViewId="0">
      <selection activeCell="R33" sqref="R33"/>
    </sheetView>
  </sheetViews>
  <sheetFormatPr defaultRowHeight="14.25" x14ac:dyDescent="0.2"/>
  <cols>
    <col min="1" max="1" width="3" customWidth="1"/>
    <col min="2" max="2" width="31.25" customWidth="1"/>
    <col min="3" max="3" width="5.875" style="1549" customWidth="1"/>
    <col min="4" max="4" width="7" customWidth="1"/>
    <col min="5" max="5" width="7" bestFit="1" customWidth="1"/>
    <col min="6" max="6" width="10.25" customWidth="1"/>
    <col min="7" max="9" width="7" customWidth="1"/>
    <col min="10" max="10" width="9" bestFit="1" customWidth="1"/>
    <col min="11" max="11" width="7" customWidth="1"/>
    <col min="12" max="12" width="7.75" customWidth="1"/>
    <col min="13" max="13" width="6.625" bestFit="1" customWidth="1"/>
    <col min="14" max="14" width="7.125" customWidth="1"/>
    <col min="15" max="17" width="8" customWidth="1"/>
  </cols>
  <sheetData>
    <row r="1" spans="1:17" ht="21" x14ac:dyDescent="0.35">
      <c r="A1" s="2200" t="s">
        <v>0</v>
      </c>
      <c r="B1" s="2200"/>
      <c r="C1" s="2200"/>
      <c r="D1" s="2200"/>
      <c r="E1" s="2200"/>
      <c r="F1" s="2200"/>
      <c r="G1" s="2200"/>
      <c r="H1" s="2200"/>
      <c r="I1" s="2200"/>
      <c r="J1" s="2200"/>
      <c r="K1" s="2200"/>
      <c r="L1" s="2200"/>
      <c r="M1" s="2200"/>
      <c r="N1" s="2200"/>
      <c r="O1" s="1575"/>
      <c r="P1" s="1575"/>
      <c r="Q1" s="1575"/>
    </row>
    <row r="2" spans="1:17" ht="17.25" x14ac:dyDescent="0.3">
      <c r="A2" s="1539"/>
      <c r="B2" s="1539"/>
      <c r="C2" s="1539"/>
      <c r="D2" s="1539"/>
      <c r="E2" s="1539"/>
      <c r="F2" s="1539"/>
      <c r="G2" s="1539"/>
      <c r="H2" s="1539"/>
      <c r="I2" s="1539"/>
      <c r="J2" s="1539"/>
      <c r="K2" s="1540"/>
      <c r="L2" s="1540"/>
      <c r="M2" s="1540"/>
      <c r="N2" s="1539"/>
      <c r="O2" s="1539"/>
      <c r="P2" s="1539"/>
      <c r="Q2" s="1539"/>
    </row>
    <row r="3" spans="1:17" ht="18.75" x14ac:dyDescent="0.3">
      <c r="A3" s="1545" t="s">
        <v>1</v>
      </c>
      <c r="B3" s="1542"/>
      <c r="C3" s="1542"/>
      <c r="D3" s="1542"/>
      <c r="E3" s="1542"/>
      <c r="F3" s="1542"/>
      <c r="G3" s="1542"/>
      <c r="H3" s="1542"/>
      <c r="I3" s="1542"/>
      <c r="J3" s="1542"/>
      <c r="K3" s="1543"/>
      <c r="L3" s="1543"/>
      <c r="M3" s="1543"/>
      <c r="N3" s="1542"/>
      <c r="O3" s="1542"/>
      <c r="P3" s="1542"/>
      <c r="Q3" s="1542"/>
    </row>
    <row r="4" spans="1:17" ht="18.75" x14ac:dyDescent="0.3">
      <c r="A4" s="1541" t="s">
        <v>2</v>
      </c>
      <c r="B4" s="1542"/>
      <c r="C4" s="1542"/>
      <c r="D4" s="1542"/>
      <c r="E4" s="1542"/>
      <c r="F4" s="1542"/>
      <c r="G4" s="1542"/>
      <c r="H4" s="1542"/>
      <c r="I4" s="1542"/>
      <c r="J4" s="1542"/>
      <c r="K4" s="1543"/>
      <c r="L4" s="1543"/>
      <c r="M4" s="1543"/>
      <c r="N4" s="1542"/>
      <c r="O4" s="1542"/>
      <c r="P4" s="1542"/>
      <c r="Q4" s="1542"/>
    </row>
    <row r="5" spans="1:17" ht="62.25" customHeight="1" x14ac:dyDescent="0.3">
      <c r="A5" s="1542"/>
      <c r="B5" s="2198" t="s">
        <v>25</v>
      </c>
      <c r="C5" s="2198"/>
      <c r="D5" s="2198"/>
      <c r="E5" s="2198"/>
      <c r="F5" s="2198"/>
      <c r="G5" s="2198"/>
      <c r="H5" s="2198"/>
      <c r="I5" s="2198"/>
      <c r="J5" s="2198"/>
      <c r="K5" s="2198"/>
      <c r="L5" s="2198"/>
      <c r="M5" s="2198"/>
      <c r="N5" s="2198"/>
      <c r="O5" s="1571"/>
      <c r="P5" s="1571"/>
      <c r="Q5" s="1571"/>
    </row>
    <row r="6" spans="1:17" ht="18.75" x14ac:dyDescent="0.3">
      <c r="A6" s="1544"/>
      <c r="B6" s="1545" t="s">
        <v>1058</v>
      </c>
      <c r="C6" s="1545"/>
      <c r="D6" s="1542"/>
      <c r="E6" s="1542"/>
      <c r="F6" s="1542"/>
      <c r="G6" s="1542"/>
      <c r="H6" s="1542"/>
      <c r="I6" s="1542"/>
      <c r="J6" s="1542"/>
      <c r="K6" s="1543"/>
      <c r="L6" s="1543"/>
      <c r="M6" s="1543"/>
      <c r="N6" s="1542"/>
      <c r="O6" s="1542"/>
      <c r="P6" s="1542"/>
      <c r="Q6" s="1542"/>
    </row>
    <row r="7" spans="1:17" ht="18.75" x14ac:dyDescent="0.3">
      <c r="A7" s="1542"/>
      <c r="B7" s="1542" t="s">
        <v>3</v>
      </c>
      <c r="C7" s="1542"/>
      <c r="D7" s="1542" t="s">
        <v>4</v>
      </c>
      <c r="E7" s="1542"/>
      <c r="F7" s="1542"/>
      <c r="G7" s="1542"/>
      <c r="H7" s="1542"/>
      <c r="I7" s="1542"/>
      <c r="J7" s="1542"/>
      <c r="K7" s="1543"/>
      <c r="L7" s="1543"/>
      <c r="M7" s="1543"/>
      <c r="N7" s="1542"/>
      <c r="O7" s="1542"/>
      <c r="P7" s="1542"/>
      <c r="Q7" s="1542"/>
    </row>
    <row r="8" spans="1:17" ht="18.75" x14ac:dyDescent="0.3">
      <c r="A8" s="1542"/>
      <c r="B8" s="1546" t="s">
        <v>5</v>
      </c>
      <c r="C8" s="1546"/>
      <c r="D8" s="1542" t="s">
        <v>6</v>
      </c>
      <c r="E8" s="1542"/>
      <c r="F8" s="1542"/>
      <c r="G8" s="1542"/>
      <c r="H8" s="1542"/>
      <c r="I8" s="1542"/>
      <c r="J8" s="1542"/>
      <c r="K8" s="1543"/>
      <c r="L8" s="1543"/>
      <c r="M8" s="1543"/>
      <c r="N8" s="1542"/>
      <c r="O8" s="1542"/>
      <c r="P8" s="1542"/>
      <c r="Q8" s="1542"/>
    </row>
    <row r="9" spans="1:17" ht="18.75" x14ac:dyDescent="0.3">
      <c r="A9" s="1542"/>
      <c r="B9" s="1542" t="s">
        <v>7</v>
      </c>
      <c r="C9" s="1542"/>
      <c r="D9" s="1542" t="s">
        <v>8</v>
      </c>
      <c r="E9" s="1542"/>
      <c r="F9" s="1542"/>
      <c r="G9" s="1542"/>
      <c r="H9" s="1542"/>
      <c r="I9" s="1542"/>
      <c r="J9" s="1542"/>
      <c r="K9" s="1543"/>
      <c r="L9" s="1543"/>
      <c r="M9" s="1543"/>
      <c r="N9" s="1542"/>
      <c r="O9" s="1542"/>
      <c r="P9" s="1542"/>
      <c r="Q9" s="1542"/>
    </row>
    <row r="10" spans="1:17" ht="18.75" x14ac:dyDescent="0.3">
      <c r="A10" s="1542"/>
      <c r="B10" s="1542" t="s">
        <v>9</v>
      </c>
      <c r="C10" s="1542"/>
      <c r="D10" s="1542" t="s">
        <v>10</v>
      </c>
      <c r="E10" s="1542"/>
      <c r="F10" s="1542"/>
      <c r="G10" s="1542"/>
      <c r="H10" s="1542"/>
      <c r="I10" s="1542"/>
      <c r="J10" s="1542"/>
      <c r="K10" s="1543"/>
      <c r="L10" s="1543"/>
      <c r="M10" s="1543"/>
      <c r="N10" s="1542"/>
      <c r="O10" s="1542"/>
      <c r="P10" s="1542"/>
      <c r="Q10" s="1542"/>
    </row>
    <row r="11" spans="1:17" ht="39" customHeight="1" x14ac:dyDescent="0.3">
      <c r="A11" s="1542"/>
      <c r="B11" s="2198" t="s">
        <v>26</v>
      </c>
      <c r="C11" s="2198"/>
      <c r="D11" s="2198"/>
      <c r="E11" s="2198"/>
      <c r="F11" s="2198"/>
      <c r="G11" s="2198"/>
      <c r="H11" s="2198"/>
      <c r="I11" s="2198"/>
      <c r="J11" s="2198"/>
      <c r="K11" s="2198"/>
      <c r="L11" s="2198"/>
      <c r="M11" s="2198"/>
      <c r="N11" s="2198"/>
      <c r="O11" s="1571"/>
      <c r="P11" s="1571"/>
      <c r="Q11" s="1571"/>
    </row>
    <row r="12" spans="1:17" ht="63" customHeight="1" x14ac:dyDescent="0.3">
      <c r="A12" s="1542"/>
      <c r="B12" s="2199" t="s">
        <v>1162</v>
      </c>
      <c r="C12" s="2199"/>
      <c r="D12" s="2199"/>
      <c r="E12" s="2199"/>
      <c r="F12" s="2199"/>
      <c r="G12" s="2199"/>
      <c r="H12" s="2199"/>
      <c r="I12" s="2199"/>
      <c r="J12" s="2199"/>
      <c r="K12" s="2199"/>
      <c r="L12" s="2199"/>
      <c r="M12" s="2199"/>
      <c r="N12" s="2199"/>
      <c r="O12" s="1572"/>
      <c r="P12" s="1572"/>
      <c r="Q12" s="1572"/>
    </row>
    <row r="13" spans="1:17" ht="18.75" x14ac:dyDescent="0.3">
      <c r="A13" s="1547"/>
      <c r="B13" s="1545" t="s">
        <v>1059</v>
      </c>
      <c r="C13" s="1545"/>
      <c r="D13" s="1542"/>
      <c r="E13" s="1542"/>
      <c r="F13" s="1542"/>
      <c r="G13" s="1542"/>
      <c r="H13" s="1542"/>
      <c r="I13" s="1542"/>
      <c r="J13" s="1542"/>
      <c r="K13" s="1543"/>
      <c r="L13" s="1543"/>
      <c r="M13" s="1543"/>
      <c r="N13" s="1542"/>
      <c r="O13" s="1542"/>
      <c r="P13" s="1542"/>
      <c r="Q13" s="1542"/>
    </row>
    <row r="14" spans="1:17" ht="18.75" x14ac:dyDescent="0.3">
      <c r="A14" s="1542"/>
      <c r="B14" s="1542" t="s">
        <v>11</v>
      </c>
      <c r="C14" s="1542"/>
      <c r="D14" s="1542"/>
      <c r="E14" s="1542"/>
      <c r="F14" s="1542"/>
      <c r="G14" s="1542"/>
      <c r="H14" s="1542"/>
      <c r="I14" s="1542"/>
      <c r="J14" s="1542"/>
      <c r="K14" s="1543"/>
      <c r="L14" s="1543"/>
      <c r="M14" s="1543"/>
      <c r="N14" s="1542"/>
      <c r="O14" s="1542"/>
      <c r="P14" s="1542"/>
      <c r="Q14" s="1542"/>
    </row>
    <row r="15" spans="1:17" ht="15.75" customHeight="1" x14ac:dyDescent="0.25">
      <c r="A15" s="1548"/>
      <c r="B15" s="1548"/>
      <c r="C15" s="1548"/>
      <c r="D15" s="1548"/>
      <c r="E15" s="1548"/>
      <c r="F15" s="1548"/>
      <c r="G15" s="1548"/>
      <c r="H15" s="1548"/>
      <c r="I15" s="1548"/>
      <c r="J15" s="1548"/>
      <c r="K15" s="1548"/>
      <c r="L15" s="1548"/>
      <c r="M15" s="1548"/>
      <c r="N15" s="1548"/>
      <c r="O15" s="1548"/>
      <c r="P15" s="1548"/>
      <c r="Q15" s="1548"/>
    </row>
    <row r="16" spans="1:17" ht="18.75" x14ac:dyDescent="0.3">
      <c r="A16" s="1541" t="s">
        <v>1055</v>
      </c>
      <c r="B16" s="1542"/>
      <c r="C16" s="1542"/>
      <c r="D16" s="1542"/>
      <c r="E16" s="1542"/>
      <c r="F16" s="1542"/>
      <c r="G16" s="1542"/>
      <c r="H16" s="1542"/>
      <c r="I16" s="1542"/>
      <c r="J16" s="1542"/>
      <c r="K16" s="1543"/>
      <c r="L16" s="1543"/>
      <c r="M16" s="1543"/>
      <c r="N16" s="1542"/>
      <c r="O16" s="1542"/>
      <c r="P16" s="1542"/>
      <c r="Q16" s="1542"/>
    </row>
    <row r="17" spans="2:14" ht="18.75" x14ac:dyDescent="0.3">
      <c r="B17" s="2201" t="s">
        <v>12</v>
      </c>
      <c r="C17" s="2208" t="s">
        <v>13</v>
      </c>
      <c r="D17" s="2209"/>
      <c r="E17" s="2209"/>
      <c r="F17" s="2209"/>
      <c r="G17" s="2209"/>
      <c r="H17" s="2209"/>
      <c r="I17" s="2209"/>
      <c r="J17" s="2209"/>
      <c r="K17" s="2209"/>
      <c r="L17" s="2209"/>
      <c r="M17" s="2209"/>
      <c r="N17" s="2210"/>
    </row>
    <row r="18" spans="2:14" ht="18.75" x14ac:dyDescent="0.3">
      <c r="B18" s="2201"/>
      <c r="C18" s="2064"/>
      <c r="D18" s="2203" t="s">
        <v>1031</v>
      </c>
      <c r="E18" s="2204"/>
      <c r="F18" s="2207" t="s">
        <v>1032</v>
      </c>
      <c r="G18" s="2207"/>
      <c r="H18" s="2207"/>
      <c r="I18" s="2207"/>
      <c r="J18" s="2207"/>
      <c r="K18" s="2207"/>
      <c r="L18" s="2207"/>
      <c r="M18" s="2207"/>
      <c r="N18" s="2207"/>
    </row>
    <row r="19" spans="2:14" ht="56.25" x14ac:dyDescent="0.2">
      <c r="B19" s="2201"/>
      <c r="C19" s="2065"/>
      <c r="D19" s="2205"/>
      <c r="E19" s="2206"/>
      <c r="F19" s="2201" t="s">
        <v>1033</v>
      </c>
      <c r="G19" s="2201"/>
      <c r="H19" s="2202" t="s">
        <v>1034</v>
      </c>
      <c r="I19" s="2202"/>
      <c r="J19" s="1551" t="s">
        <v>1035</v>
      </c>
      <c r="K19" s="2201" t="s">
        <v>420</v>
      </c>
      <c r="L19" s="2201"/>
      <c r="M19" s="2201"/>
      <c r="N19" s="2202" t="s">
        <v>1036</v>
      </c>
    </row>
    <row r="20" spans="2:14" ht="37.5" x14ac:dyDescent="0.2">
      <c r="B20" s="2201"/>
      <c r="C20" s="2066"/>
      <c r="D20" s="1551" t="s">
        <v>1037</v>
      </c>
      <c r="E20" s="1551" t="s">
        <v>14</v>
      </c>
      <c r="F20" s="1551" t="s">
        <v>1038</v>
      </c>
      <c r="G20" s="1551" t="s">
        <v>1039</v>
      </c>
      <c r="H20" s="1551" t="s">
        <v>1040</v>
      </c>
      <c r="I20" s="1551" t="s">
        <v>15</v>
      </c>
      <c r="J20" s="1551" t="s">
        <v>1041</v>
      </c>
      <c r="K20" s="1551" t="s">
        <v>17</v>
      </c>
      <c r="L20" s="1551" t="s">
        <v>18</v>
      </c>
      <c r="M20" s="1551" t="s">
        <v>19</v>
      </c>
      <c r="N20" s="2202"/>
    </row>
    <row r="21" spans="2:14" ht="18.75" x14ac:dyDescent="0.3">
      <c r="B21" s="1559" t="s">
        <v>1042</v>
      </c>
      <c r="C21" s="2061"/>
      <c r="D21" s="1560"/>
      <c r="E21" s="1560"/>
      <c r="F21" s="1560"/>
      <c r="G21" s="1560"/>
      <c r="H21" s="1560"/>
      <c r="I21" s="1560"/>
      <c r="J21" s="1560"/>
      <c r="K21" s="1560"/>
      <c r="L21" s="1560"/>
      <c r="M21" s="1560"/>
      <c r="N21" s="1561"/>
    </row>
    <row r="22" spans="2:14" ht="18.75" x14ac:dyDescent="0.3">
      <c r="B22" s="2031" t="s">
        <v>699</v>
      </c>
      <c r="C22" s="1555" t="s">
        <v>207</v>
      </c>
      <c r="D22" s="1555">
        <v>80</v>
      </c>
      <c r="E22" s="1555">
        <v>60</v>
      </c>
      <c r="F22" s="1555">
        <v>50</v>
      </c>
      <c r="G22" s="1555">
        <v>40</v>
      </c>
      <c r="H22" s="1555">
        <v>50</v>
      </c>
      <c r="I22" s="1555">
        <v>40</v>
      </c>
      <c r="J22" s="1555">
        <v>30</v>
      </c>
      <c r="K22" s="1555">
        <v>30</v>
      </c>
      <c r="L22" s="1555">
        <v>20</v>
      </c>
      <c r="M22" s="1555">
        <v>10</v>
      </c>
      <c r="N22" s="1555" t="s">
        <v>20</v>
      </c>
    </row>
    <row r="23" spans="2:14" s="1549" customFormat="1" ht="18.75" x14ac:dyDescent="0.3">
      <c r="B23" s="2032"/>
      <c r="C23" s="2063" t="s">
        <v>1161</v>
      </c>
      <c r="D23" s="2033" t="s">
        <v>1145</v>
      </c>
      <c r="E23" s="2033" t="s">
        <v>1146</v>
      </c>
      <c r="F23" s="2033" t="s">
        <v>1147</v>
      </c>
      <c r="G23" s="2033" t="s">
        <v>1148</v>
      </c>
      <c r="H23" s="2033" t="s">
        <v>1147</v>
      </c>
      <c r="I23" s="2033" t="s">
        <v>1148</v>
      </c>
      <c r="J23" s="2033" t="s">
        <v>1149</v>
      </c>
      <c r="K23" s="2033" t="s">
        <v>1149</v>
      </c>
      <c r="L23" s="2033" t="s">
        <v>1150</v>
      </c>
      <c r="M23" s="2033" t="s">
        <v>1151</v>
      </c>
      <c r="N23" s="2033" t="s">
        <v>20</v>
      </c>
    </row>
    <row r="24" spans="2:14" ht="18.75" x14ac:dyDescent="0.3">
      <c r="B24" s="2031" t="s">
        <v>1043</v>
      </c>
      <c r="C24" s="1555" t="s">
        <v>207</v>
      </c>
      <c r="D24" s="1555" t="s">
        <v>20</v>
      </c>
      <c r="E24" s="1555">
        <v>20</v>
      </c>
      <c r="F24" s="1555">
        <v>30</v>
      </c>
      <c r="G24" s="1555">
        <v>40</v>
      </c>
      <c r="H24" s="1555">
        <v>30</v>
      </c>
      <c r="I24" s="1555">
        <v>40</v>
      </c>
      <c r="J24" s="1555">
        <v>40</v>
      </c>
      <c r="K24" s="1555">
        <v>40</v>
      </c>
      <c r="L24" s="1555">
        <v>40</v>
      </c>
      <c r="M24" s="1555">
        <v>40</v>
      </c>
      <c r="N24" s="1555">
        <v>40</v>
      </c>
    </row>
    <row r="25" spans="2:14" s="1549" customFormat="1" ht="18.75" x14ac:dyDescent="0.3">
      <c r="B25" s="2035"/>
      <c r="C25" s="1557" t="s">
        <v>1161</v>
      </c>
      <c r="D25" s="1557" t="s">
        <v>20</v>
      </c>
      <c r="E25" s="2067" t="s">
        <v>1150</v>
      </c>
      <c r="F25" s="2067" t="s">
        <v>1152</v>
      </c>
      <c r="G25" s="2067" t="s">
        <v>1149</v>
      </c>
      <c r="H25" s="2067" t="s">
        <v>1152</v>
      </c>
      <c r="I25" s="2067" t="s">
        <v>1149</v>
      </c>
      <c r="J25" s="2067" t="s">
        <v>1148</v>
      </c>
      <c r="K25" s="2067" t="s">
        <v>1148</v>
      </c>
      <c r="L25" s="2067" t="s">
        <v>1146</v>
      </c>
      <c r="M25" s="2067" t="s">
        <v>1153</v>
      </c>
      <c r="N25" s="2067" t="s">
        <v>1145</v>
      </c>
    </row>
    <row r="26" spans="2:14" s="1549" customFormat="1" ht="18.75" x14ac:dyDescent="0.3">
      <c r="B26" s="2034" t="s">
        <v>1056</v>
      </c>
      <c r="C26" s="2036" t="s">
        <v>207</v>
      </c>
      <c r="D26" s="2036" t="s">
        <v>20</v>
      </c>
      <c r="E26" s="2036">
        <v>15</v>
      </c>
      <c r="F26" s="2036">
        <v>22</v>
      </c>
      <c r="G26" s="2036">
        <v>30</v>
      </c>
      <c r="H26" s="2036">
        <v>22</v>
      </c>
      <c r="I26" s="2036">
        <v>30</v>
      </c>
      <c r="J26" s="2036">
        <v>30</v>
      </c>
      <c r="K26" s="2036">
        <v>30</v>
      </c>
      <c r="L26" s="2036">
        <v>30</v>
      </c>
      <c r="M26" s="2036">
        <v>30</v>
      </c>
      <c r="N26" s="2036">
        <v>30</v>
      </c>
    </row>
    <row r="27" spans="2:14" s="1549" customFormat="1" ht="18.75" x14ac:dyDescent="0.3">
      <c r="B27" s="1556" t="s">
        <v>1057</v>
      </c>
      <c r="C27" s="1557" t="s">
        <v>207</v>
      </c>
      <c r="D27" s="1557" t="s">
        <v>20</v>
      </c>
      <c r="E27" s="1557">
        <v>5</v>
      </c>
      <c r="F27" s="1557">
        <v>8</v>
      </c>
      <c r="G27" s="1557">
        <v>10</v>
      </c>
      <c r="H27" s="1557">
        <v>8</v>
      </c>
      <c r="I27" s="1557">
        <v>10</v>
      </c>
      <c r="J27" s="1557">
        <v>10</v>
      </c>
      <c r="K27" s="1557">
        <v>10</v>
      </c>
      <c r="L27" s="1557">
        <v>10</v>
      </c>
      <c r="M27" s="1557">
        <v>10</v>
      </c>
      <c r="N27" s="1557">
        <v>10</v>
      </c>
    </row>
    <row r="28" spans="2:14" ht="56.25" x14ac:dyDescent="0.3">
      <c r="B28" s="1553" t="s">
        <v>1051</v>
      </c>
      <c r="C28" s="2086" t="s">
        <v>207</v>
      </c>
      <c r="D28" s="1558" t="s">
        <v>20</v>
      </c>
      <c r="E28" s="1558" t="s">
        <v>20</v>
      </c>
      <c r="F28" s="1558" t="s">
        <v>20</v>
      </c>
      <c r="G28" s="1558" t="s">
        <v>20</v>
      </c>
      <c r="H28" s="1558" t="s">
        <v>20</v>
      </c>
      <c r="I28" s="1558" t="s">
        <v>20</v>
      </c>
      <c r="J28" s="1558">
        <v>10</v>
      </c>
      <c r="K28" s="1558">
        <v>10</v>
      </c>
      <c r="L28" s="1558">
        <v>20</v>
      </c>
      <c r="M28" s="1558">
        <v>30</v>
      </c>
      <c r="N28" s="1558">
        <v>40</v>
      </c>
    </row>
    <row r="29" spans="2:14" ht="18.75" x14ac:dyDescent="0.3">
      <c r="B29" s="1559" t="s">
        <v>1044</v>
      </c>
      <c r="C29" s="2061"/>
      <c r="D29" s="1562"/>
      <c r="E29" s="1562"/>
      <c r="F29" s="1562"/>
      <c r="G29" s="1562"/>
      <c r="H29" s="1562"/>
      <c r="I29" s="1562"/>
      <c r="J29" s="1562"/>
      <c r="K29" s="1562"/>
      <c r="L29" s="1562"/>
      <c r="M29" s="1562"/>
      <c r="N29" s="1563"/>
    </row>
    <row r="30" spans="2:14" ht="18.75" x14ac:dyDescent="0.3">
      <c r="B30" s="1550" t="s">
        <v>1045</v>
      </c>
      <c r="C30" s="1552" t="s">
        <v>207</v>
      </c>
      <c r="D30" s="1552">
        <v>10</v>
      </c>
      <c r="E30" s="1552">
        <v>10</v>
      </c>
      <c r="F30" s="1552">
        <v>10</v>
      </c>
      <c r="G30" s="1552">
        <v>10</v>
      </c>
      <c r="H30" s="1552">
        <v>10</v>
      </c>
      <c r="I30" s="1552">
        <v>10</v>
      </c>
      <c r="J30" s="1552">
        <v>10</v>
      </c>
      <c r="K30" s="1552">
        <v>10</v>
      </c>
      <c r="L30" s="1552">
        <v>10</v>
      </c>
      <c r="M30" s="1552">
        <v>10</v>
      </c>
      <c r="N30" s="1552">
        <v>10</v>
      </c>
    </row>
    <row r="31" spans="2:14" ht="18.75" x14ac:dyDescent="0.3">
      <c r="B31" s="1554" t="s">
        <v>1046</v>
      </c>
      <c r="C31" s="1554"/>
      <c r="D31" s="1566" t="s">
        <v>1047</v>
      </c>
      <c r="E31" s="1566" t="s">
        <v>1047</v>
      </c>
      <c r="F31" s="1566" t="s">
        <v>1047</v>
      </c>
      <c r="G31" s="1566" t="s">
        <v>1047</v>
      </c>
      <c r="H31" s="1566" t="s">
        <v>1047</v>
      </c>
      <c r="I31" s="1566" t="s">
        <v>1047</v>
      </c>
      <c r="J31" s="1566" t="s">
        <v>1047</v>
      </c>
      <c r="K31" s="1566" t="s">
        <v>1047</v>
      </c>
      <c r="L31" s="1566" t="s">
        <v>1047</v>
      </c>
      <c r="M31" s="1566" t="s">
        <v>1047</v>
      </c>
      <c r="N31" s="1566" t="s">
        <v>1047</v>
      </c>
    </row>
    <row r="32" spans="2:14" ht="18.75" x14ac:dyDescent="0.3">
      <c r="B32" s="1564" t="s">
        <v>1048</v>
      </c>
      <c r="C32" s="1564"/>
      <c r="D32" s="1565" t="s">
        <v>20</v>
      </c>
      <c r="E32" s="1568" t="s">
        <v>1047</v>
      </c>
      <c r="F32" s="1568" t="s">
        <v>1047</v>
      </c>
      <c r="G32" s="1568" t="s">
        <v>1047</v>
      </c>
      <c r="H32" s="1568" t="s">
        <v>1047</v>
      </c>
      <c r="I32" s="1568" t="s">
        <v>1047</v>
      </c>
      <c r="J32" s="1568" t="s">
        <v>1047</v>
      </c>
      <c r="K32" s="1568" t="s">
        <v>1047</v>
      </c>
      <c r="L32" s="1568" t="s">
        <v>1047</v>
      </c>
      <c r="M32" s="1568" t="s">
        <v>1047</v>
      </c>
      <c r="N32" s="1568" t="s">
        <v>1047</v>
      </c>
    </row>
    <row r="33" spans="2:14" ht="18.75" x14ac:dyDescent="0.3">
      <c r="B33" s="1556" t="s">
        <v>1049</v>
      </c>
      <c r="C33" s="2062"/>
      <c r="D33" s="1567" t="s">
        <v>1047</v>
      </c>
      <c r="E33" s="1569" t="s">
        <v>1047</v>
      </c>
      <c r="F33" s="1569" t="s">
        <v>1047</v>
      </c>
      <c r="G33" s="1569" t="s">
        <v>1047</v>
      </c>
      <c r="H33" s="1569" t="s">
        <v>1047</v>
      </c>
      <c r="I33" s="1569" t="s">
        <v>1047</v>
      </c>
      <c r="J33" s="1568" t="s">
        <v>1047</v>
      </c>
      <c r="K33" s="1568" t="s">
        <v>1047</v>
      </c>
      <c r="L33" s="1568" t="s">
        <v>1047</v>
      </c>
      <c r="M33" s="1568" t="s">
        <v>1047</v>
      </c>
      <c r="N33" s="1557" t="s">
        <v>20</v>
      </c>
    </row>
    <row r="34" spans="2:14" ht="18.75" x14ac:dyDescent="0.3">
      <c r="B34" s="1550" t="s">
        <v>1050</v>
      </c>
      <c r="C34" s="1552" t="s">
        <v>207</v>
      </c>
      <c r="D34" s="1552">
        <v>10</v>
      </c>
      <c r="E34" s="1552">
        <v>10</v>
      </c>
      <c r="F34" s="1552">
        <v>10</v>
      </c>
      <c r="G34" s="1552">
        <v>10</v>
      </c>
      <c r="H34" s="1552">
        <v>10</v>
      </c>
      <c r="I34" s="1552">
        <v>10</v>
      </c>
      <c r="J34" s="1552">
        <v>10</v>
      </c>
      <c r="K34" s="1552">
        <v>10</v>
      </c>
      <c r="L34" s="1552">
        <v>10</v>
      </c>
      <c r="M34" s="1552">
        <v>10</v>
      </c>
      <c r="N34" s="1552">
        <v>10</v>
      </c>
    </row>
    <row r="35" spans="2:14" ht="18.75" x14ac:dyDescent="0.3">
      <c r="B35" s="1570" t="s">
        <v>1052</v>
      </c>
      <c r="C35" s="1570"/>
    </row>
    <row r="36" spans="2:14" ht="18.75" x14ac:dyDescent="0.3">
      <c r="B36" s="1573" t="s">
        <v>1053</v>
      </c>
      <c r="C36" s="157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2:14" ht="18.75" x14ac:dyDescent="0.3">
      <c r="B37" s="1574" t="s">
        <v>1054</v>
      </c>
      <c r="C37" s="1574"/>
    </row>
  </sheetData>
  <sheetProtection password="DD56" sheet="1" objects="1" scenarios="1"/>
  <mergeCells count="12">
    <mergeCell ref="B5:N5"/>
    <mergeCell ref="B11:N11"/>
    <mergeCell ref="B12:N12"/>
    <mergeCell ref="A1:N1"/>
    <mergeCell ref="B17:B20"/>
    <mergeCell ref="N19:N20"/>
    <mergeCell ref="D18:E19"/>
    <mergeCell ref="F19:G19"/>
    <mergeCell ref="H19:I19"/>
    <mergeCell ref="K19:M19"/>
    <mergeCell ref="F18:N18"/>
    <mergeCell ref="C17:N17"/>
  </mergeCells>
  <pageMargins left="0.39370078740157483" right="0.39370078740157483" top="0.74803149606299213" bottom="0.59055118110236227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2:J63"/>
  <sheetViews>
    <sheetView showGridLines="0" topLeftCell="B43" zoomScale="150" zoomScaleNormal="150" workbookViewId="0">
      <selection activeCell="D64" sqref="D64"/>
    </sheetView>
  </sheetViews>
  <sheetFormatPr defaultRowHeight="12.75" x14ac:dyDescent="0.2"/>
  <cols>
    <col min="1" max="1" width="2.25" style="1" customWidth="1"/>
    <col min="2" max="2" width="3.375" style="1" customWidth="1"/>
    <col min="3" max="3" width="8.375" style="1" customWidth="1"/>
    <col min="4" max="4" width="72.875" style="1" customWidth="1"/>
    <col min="5" max="5" width="38.25" style="1" hidden="1" customWidth="1"/>
    <col min="6" max="6" width="9.5" style="1" customWidth="1"/>
    <col min="7" max="7" width="11.125" style="1" bestFit="1" customWidth="1"/>
    <col min="8" max="8" width="6.875" style="1" customWidth="1"/>
    <col min="9" max="10" width="11.125" style="1" bestFit="1" customWidth="1"/>
    <col min="11" max="16384" width="9" style="1"/>
  </cols>
  <sheetData>
    <row r="2" spans="1:10" ht="20.25" x14ac:dyDescent="0.3">
      <c r="B2" s="1189" t="s">
        <v>919</v>
      </c>
    </row>
    <row r="4" spans="1:10" ht="18" x14ac:dyDescent="0.2">
      <c r="A4" s="725"/>
      <c r="B4" s="1218">
        <v>1</v>
      </c>
      <c r="C4" s="1234" t="s">
        <v>899</v>
      </c>
      <c r="D4" s="1219"/>
      <c r="E4" s="1219"/>
      <c r="F4" s="1219"/>
      <c r="G4" s="882"/>
      <c r="H4" s="884"/>
      <c r="I4" s="884"/>
      <c r="J4" s="1220"/>
    </row>
    <row r="5" spans="1:10" x14ac:dyDescent="0.2">
      <c r="A5" s="736"/>
      <c r="B5" s="1324"/>
      <c r="C5" s="1325"/>
      <c r="D5" s="3161" t="s">
        <v>12</v>
      </c>
      <c r="E5" s="3034"/>
      <c r="F5" s="3162"/>
      <c r="G5" s="1328" t="s">
        <v>863</v>
      </c>
      <c r="H5" s="1334" t="s">
        <v>442</v>
      </c>
      <c r="I5" s="1329" t="s">
        <v>443</v>
      </c>
      <c r="J5" s="1330" t="s">
        <v>443</v>
      </c>
    </row>
    <row r="6" spans="1:10" x14ac:dyDescent="0.2">
      <c r="A6" s="747"/>
      <c r="B6" s="1326"/>
      <c r="C6" s="1327"/>
      <c r="D6" s="1336"/>
      <c r="E6" s="1337" t="s">
        <v>900</v>
      </c>
      <c r="F6" s="1338"/>
      <c r="G6" s="1331" t="s">
        <v>834</v>
      </c>
      <c r="H6" s="1332" t="s">
        <v>448</v>
      </c>
      <c r="I6" s="1332" t="s">
        <v>445</v>
      </c>
      <c r="J6" s="1333" t="s">
        <v>315</v>
      </c>
    </row>
    <row r="7" spans="1:10" x14ac:dyDescent="0.2">
      <c r="A7" s="747"/>
      <c r="B7" s="1306"/>
      <c r="C7" s="1307" t="s">
        <v>901</v>
      </c>
      <c r="D7" s="1339"/>
      <c r="E7" s="1340"/>
      <c r="F7" s="1341"/>
      <c r="G7" s="1308"/>
      <c r="H7" s="1309"/>
      <c r="I7" s="1309"/>
      <c r="J7" s="1310"/>
    </row>
    <row r="8" spans="1:10" x14ac:dyDescent="0.2">
      <c r="A8" s="755"/>
      <c r="B8" s="1311"/>
      <c r="C8" s="1312" t="s">
        <v>902</v>
      </c>
      <c r="D8" s="1342" t="s">
        <v>920</v>
      </c>
      <c r="E8" s="1343"/>
      <c r="F8" s="1344"/>
      <c r="G8" s="1314"/>
      <c r="H8" s="1355"/>
      <c r="I8" s="1315">
        <f t="shared" ref="I8:I12" si="0">G8*H8</f>
        <v>0</v>
      </c>
      <c r="J8" s="1316">
        <f t="shared" ref="J8:J12" si="1">I8/15</f>
        <v>0</v>
      </c>
    </row>
    <row r="9" spans="1:10" hidden="1" x14ac:dyDescent="0.2">
      <c r="A9" s="755"/>
      <c r="B9" s="1311"/>
      <c r="C9" s="1312" t="s">
        <v>903</v>
      </c>
      <c r="D9" s="1342" t="s">
        <v>904</v>
      </c>
      <c r="E9" s="1343"/>
      <c r="F9" s="1344"/>
      <c r="G9" s="1314"/>
      <c r="H9" s="1355"/>
      <c r="I9" s="1315">
        <f t="shared" si="0"/>
        <v>0</v>
      </c>
      <c r="J9" s="1316">
        <f t="shared" si="1"/>
        <v>0</v>
      </c>
    </row>
    <row r="10" spans="1:10" hidden="1" x14ac:dyDescent="0.2">
      <c r="A10" s="755"/>
      <c r="B10" s="1311"/>
      <c r="C10" s="1312" t="s">
        <v>905</v>
      </c>
      <c r="D10" s="1342" t="s">
        <v>906</v>
      </c>
      <c r="E10" s="1343"/>
      <c r="F10" s="1344"/>
      <c r="G10" s="1314"/>
      <c r="H10" s="1355"/>
      <c r="I10" s="1315">
        <f t="shared" si="0"/>
        <v>0</v>
      </c>
      <c r="J10" s="1316">
        <f t="shared" si="1"/>
        <v>0</v>
      </c>
    </row>
    <row r="11" spans="1:10" x14ac:dyDescent="0.2">
      <c r="A11" s="755"/>
      <c r="B11" s="1311"/>
      <c r="C11" s="1312" t="s">
        <v>907</v>
      </c>
      <c r="D11" s="1342" t="s">
        <v>908</v>
      </c>
      <c r="E11" s="1343"/>
      <c r="F11" s="1344"/>
      <c r="G11" s="1314"/>
      <c r="H11" s="1355"/>
      <c r="I11" s="1315">
        <f t="shared" si="0"/>
        <v>0</v>
      </c>
      <c r="J11" s="1316">
        <f t="shared" si="1"/>
        <v>0</v>
      </c>
    </row>
    <row r="12" spans="1:10" x14ac:dyDescent="0.2">
      <c r="A12" s="755"/>
      <c r="B12" s="1311"/>
      <c r="C12" s="1312" t="s">
        <v>909</v>
      </c>
      <c r="D12" s="1342" t="s">
        <v>910</v>
      </c>
      <c r="E12" s="1343"/>
      <c r="F12" s="1344"/>
      <c r="G12" s="1314"/>
      <c r="H12" s="1355"/>
      <c r="I12" s="1315">
        <f t="shared" si="0"/>
        <v>0</v>
      </c>
      <c r="J12" s="1316">
        <f t="shared" si="1"/>
        <v>0</v>
      </c>
    </row>
    <row r="13" spans="1:10" x14ac:dyDescent="0.2">
      <c r="A13" s="755"/>
      <c r="B13" s="1311"/>
      <c r="C13" s="1312" t="s">
        <v>911</v>
      </c>
      <c r="D13" s="1342" t="s">
        <v>912</v>
      </c>
      <c r="E13" s="1343"/>
      <c r="F13" s="1344"/>
      <c r="G13" s="1314"/>
      <c r="H13" s="1355"/>
      <c r="I13" s="1315">
        <f t="shared" ref="I13:I15" si="2">G13*H13</f>
        <v>0</v>
      </c>
      <c r="J13" s="1316">
        <f t="shared" ref="J13:J15" si="3">I13/15</f>
        <v>0</v>
      </c>
    </row>
    <row r="14" spans="1:10" x14ac:dyDescent="0.2">
      <c r="A14" s="755"/>
      <c r="B14" s="1311"/>
      <c r="C14" s="1312" t="s">
        <v>913</v>
      </c>
      <c r="D14" s="1342" t="s">
        <v>948</v>
      </c>
      <c r="E14" s="1343"/>
      <c r="F14" s="1387" t="s">
        <v>949</v>
      </c>
      <c r="G14" s="1314"/>
      <c r="H14" s="1355"/>
      <c r="I14" s="1315">
        <f t="shared" si="2"/>
        <v>0</v>
      </c>
      <c r="J14" s="1316">
        <f t="shared" si="3"/>
        <v>0</v>
      </c>
    </row>
    <row r="15" spans="1:10" x14ac:dyDescent="0.2">
      <c r="A15" s="755"/>
      <c r="B15" s="1318"/>
      <c r="C15" s="1385" t="s">
        <v>914</v>
      </c>
      <c r="D15" s="1386" t="s">
        <v>947</v>
      </c>
      <c r="E15" s="1343"/>
      <c r="F15" s="1344"/>
      <c r="G15" s="1314"/>
      <c r="H15" s="1356"/>
      <c r="I15" s="1353">
        <f t="shared" si="2"/>
        <v>0</v>
      </c>
      <c r="J15" s="1354">
        <f t="shared" si="3"/>
        <v>0</v>
      </c>
    </row>
    <row r="16" spans="1:10" x14ac:dyDescent="0.2">
      <c r="A16" s="755"/>
      <c r="B16" s="1324"/>
      <c r="C16" s="1325"/>
      <c r="D16" s="1335" t="s">
        <v>664</v>
      </c>
      <c r="E16" s="1347"/>
      <c r="F16" s="1346" t="s">
        <v>921</v>
      </c>
      <c r="G16" s="1345" t="s">
        <v>280</v>
      </c>
      <c r="H16" s="1334" t="s">
        <v>442</v>
      </c>
      <c r="I16" s="1329" t="s">
        <v>443</v>
      </c>
      <c r="J16" s="1330" t="s">
        <v>443</v>
      </c>
    </row>
    <row r="17" spans="1:10" x14ac:dyDescent="0.2">
      <c r="A17" s="755"/>
      <c r="B17" s="1326"/>
      <c r="C17" s="1327"/>
      <c r="D17" s="1336"/>
      <c r="E17" s="1337" t="s">
        <v>900</v>
      </c>
      <c r="F17" s="1349" t="s">
        <v>922</v>
      </c>
      <c r="G17" s="1331" t="s">
        <v>669</v>
      </c>
      <c r="H17" s="1332" t="s">
        <v>448</v>
      </c>
      <c r="I17" s="1332" t="s">
        <v>445</v>
      </c>
      <c r="J17" s="1333" t="s">
        <v>315</v>
      </c>
    </row>
    <row r="18" spans="1:10" x14ac:dyDescent="0.2">
      <c r="A18" s="755"/>
      <c r="B18" s="1311"/>
      <c r="C18" s="1307" t="s">
        <v>923</v>
      </c>
      <c r="D18" s="1313"/>
      <c r="E18" s="1313"/>
      <c r="F18" s="1313"/>
      <c r="G18" s="1317"/>
      <c r="H18" s="1357"/>
      <c r="I18" s="1315">
        <f t="shared" ref="I18:I23" si="4">G18*H18</f>
        <v>0</v>
      </c>
      <c r="J18" s="1316">
        <f t="shared" ref="J18:J23" si="5">I18/15</f>
        <v>0</v>
      </c>
    </row>
    <row r="19" spans="1:10" x14ac:dyDescent="0.2">
      <c r="A19" s="755"/>
      <c r="B19" s="1311"/>
      <c r="C19" s="1312" t="s">
        <v>641</v>
      </c>
      <c r="D19" s="1313"/>
      <c r="E19" s="1313"/>
      <c r="F19" s="1313"/>
      <c r="G19" s="1314"/>
      <c r="H19" s="1357"/>
      <c r="I19" s="1315">
        <f t="shared" si="4"/>
        <v>0</v>
      </c>
      <c r="J19" s="1316">
        <f t="shared" si="5"/>
        <v>0</v>
      </c>
    </row>
    <row r="20" spans="1:10" x14ac:dyDescent="0.2">
      <c r="A20" s="755"/>
      <c r="B20" s="1311"/>
      <c r="C20" s="1312" t="s">
        <v>642</v>
      </c>
      <c r="D20" s="1313"/>
      <c r="E20" s="1313"/>
      <c r="F20" s="1313"/>
      <c r="G20" s="1314"/>
      <c r="H20" s="1357"/>
      <c r="I20" s="1315">
        <f t="shared" si="4"/>
        <v>0</v>
      </c>
      <c r="J20" s="1316">
        <f t="shared" si="5"/>
        <v>0</v>
      </c>
    </row>
    <row r="21" spans="1:10" x14ac:dyDescent="0.2">
      <c r="A21" s="755"/>
      <c r="B21" s="1311"/>
      <c r="C21" s="1312" t="s">
        <v>643</v>
      </c>
      <c r="D21" s="1313"/>
      <c r="E21" s="1313"/>
      <c r="F21" s="1313"/>
      <c r="G21" s="1314"/>
      <c r="H21" s="1357"/>
      <c r="I21" s="1315">
        <f t="shared" si="4"/>
        <v>0</v>
      </c>
      <c r="J21" s="1316">
        <f t="shared" si="5"/>
        <v>0</v>
      </c>
    </row>
    <row r="22" spans="1:10" x14ac:dyDescent="0.2">
      <c r="A22" s="755"/>
      <c r="B22" s="1311"/>
      <c r="C22" s="1312" t="s">
        <v>644</v>
      </c>
      <c r="D22" s="1313"/>
      <c r="E22" s="1313"/>
      <c r="F22" s="1313"/>
      <c r="G22" s="1314"/>
      <c r="H22" s="1357"/>
      <c r="I22" s="1315">
        <f t="shared" si="4"/>
        <v>0</v>
      </c>
      <c r="J22" s="1316">
        <f t="shared" si="5"/>
        <v>0</v>
      </c>
    </row>
    <row r="23" spans="1:10" x14ac:dyDescent="0.2">
      <c r="B23" s="1350"/>
      <c r="C23" s="1319" t="s">
        <v>645</v>
      </c>
      <c r="D23" s="1351"/>
      <c r="E23" s="1352"/>
      <c r="F23" s="1352"/>
      <c r="G23" s="1352"/>
      <c r="H23" s="1358"/>
      <c r="I23" s="1322">
        <f t="shared" si="4"/>
        <v>0</v>
      </c>
      <c r="J23" s="1323">
        <f t="shared" si="5"/>
        <v>0</v>
      </c>
    </row>
    <row r="24" spans="1:10" x14ac:dyDescent="0.2">
      <c r="D24" s="1294"/>
    </row>
    <row r="25" spans="1:10" ht="18" x14ac:dyDescent="0.2">
      <c r="B25" s="1218">
        <v>2</v>
      </c>
      <c r="C25" s="1234" t="s">
        <v>915</v>
      </c>
      <c r="D25" s="1219"/>
      <c r="E25" s="1219"/>
      <c r="F25" s="1219"/>
      <c r="G25" s="882"/>
      <c r="H25" s="884"/>
      <c r="I25" s="884"/>
      <c r="J25" s="1220"/>
    </row>
    <row r="26" spans="1:10" x14ac:dyDescent="0.2">
      <c r="B26" s="807"/>
      <c r="C26" s="810"/>
      <c r="D26" s="810" t="s">
        <v>718</v>
      </c>
      <c r="E26" s="810"/>
      <c r="F26" s="810"/>
      <c r="G26" s="1003" t="s">
        <v>863</v>
      </c>
      <c r="H26" s="1334" t="s">
        <v>442</v>
      </c>
      <c r="I26" s="1069" t="s">
        <v>443</v>
      </c>
      <c r="J26" s="1070" t="s">
        <v>443</v>
      </c>
    </row>
    <row r="27" spans="1:10" x14ac:dyDescent="0.2">
      <c r="B27" s="1235"/>
      <c r="C27" s="1236"/>
      <c r="D27" s="1236"/>
      <c r="E27" s="1236"/>
      <c r="F27" s="1236"/>
      <c r="G27" s="739" t="s">
        <v>834</v>
      </c>
      <c r="H27" s="1332" t="s">
        <v>448</v>
      </c>
      <c r="I27" s="858" t="s">
        <v>445</v>
      </c>
      <c r="J27" s="859" t="s">
        <v>315</v>
      </c>
    </row>
    <row r="28" spans="1:10" x14ac:dyDescent="0.2">
      <c r="B28" s="1299"/>
      <c r="C28" s="1307" t="s">
        <v>901</v>
      </c>
      <c r="D28" s="1300"/>
      <c r="E28" s="1300"/>
      <c r="F28" s="1300"/>
      <c r="G28" s="1301"/>
      <c r="H28" s="1302"/>
      <c r="I28" s="1302"/>
      <c r="J28" s="1303"/>
    </row>
    <row r="29" spans="1:10" ht="25.5" x14ac:dyDescent="0.2">
      <c r="B29" s="1222"/>
      <c r="C29" s="1359" t="s">
        <v>902</v>
      </c>
      <c r="D29" s="1295" t="s">
        <v>924</v>
      </c>
      <c r="E29" s="1207"/>
      <c r="F29" s="1368"/>
      <c r="G29" s="759"/>
      <c r="H29" s="1369"/>
      <c r="I29" s="760">
        <f t="shared" ref="I29:I35" si="6">G29*H29</f>
        <v>0</v>
      </c>
      <c r="J29" s="761">
        <f t="shared" ref="J29:J34" si="7">I29/15</f>
        <v>0</v>
      </c>
    </row>
    <row r="30" spans="1:10" x14ac:dyDescent="0.2">
      <c r="B30" s="1222"/>
      <c r="C30" s="1223" t="s">
        <v>903</v>
      </c>
      <c r="D30" s="1207" t="s">
        <v>925</v>
      </c>
      <c r="E30" s="1207"/>
      <c r="F30" s="1207"/>
      <c r="G30" s="1090"/>
      <c r="H30" s="1370"/>
      <c r="I30" s="960">
        <f t="shared" si="6"/>
        <v>0</v>
      </c>
      <c r="J30" s="928">
        <f t="shared" si="7"/>
        <v>0</v>
      </c>
    </row>
    <row r="31" spans="1:10" x14ac:dyDescent="0.2">
      <c r="B31" s="1222"/>
      <c r="C31" s="1223" t="s">
        <v>905</v>
      </c>
      <c r="D31" s="1207" t="s">
        <v>950</v>
      </c>
      <c r="E31" s="1207"/>
      <c r="F31" s="1207"/>
      <c r="G31" s="1090"/>
      <c r="H31" s="1370"/>
      <c r="I31" s="960">
        <f t="shared" si="6"/>
        <v>0</v>
      </c>
      <c r="J31" s="928">
        <f t="shared" si="7"/>
        <v>0</v>
      </c>
    </row>
    <row r="32" spans="1:10" x14ac:dyDescent="0.2">
      <c r="B32" s="1222"/>
      <c r="C32" s="1223" t="s">
        <v>911</v>
      </c>
      <c r="D32" s="1207" t="s">
        <v>951</v>
      </c>
      <c r="E32" s="1207"/>
      <c r="F32" s="1207"/>
      <c r="G32" s="1090"/>
      <c r="H32" s="1370"/>
      <c r="I32" s="960">
        <f>G32*H32</f>
        <v>0</v>
      </c>
      <c r="J32" s="928">
        <f>I32/15</f>
        <v>0</v>
      </c>
    </row>
    <row r="33" spans="1:10" x14ac:dyDescent="0.2">
      <c r="B33" s="1222"/>
      <c r="C33" s="1223" t="s">
        <v>907</v>
      </c>
      <c r="D33" s="1207" t="s">
        <v>926</v>
      </c>
      <c r="E33" s="1207"/>
      <c r="F33" s="1207"/>
      <c r="G33" s="1090"/>
      <c r="H33" s="1370"/>
      <c r="I33" s="960">
        <f t="shared" si="6"/>
        <v>0</v>
      </c>
      <c r="J33" s="928">
        <f t="shared" si="7"/>
        <v>0</v>
      </c>
    </row>
    <row r="34" spans="1:10" x14ac:dyDescent="0.2">
      <c r="B34" s="1206"/>
      <c r="C34" s="1361" t="s">
        <v>909</v>
      </c>
      <c r="D34" s="1362" t="s">
        <v>953</v>
      </c>
      <c r="E34" s="1362"/>
      <c r="F34" s="1362"/>
      <c r="G34" s="1363"/>
      <c r="H34" s="1371"/>
      <c r="I34" s="1364">
        <f t="shared" si="6"/>
        <v>0</v>
      </c>
      <c r="J34" s="1365">
        <f t="shared" si="7"/>
        <v>0</v>
      </c>
    </row>
    <row r="35" spans="1:10" x14ac:dyDescent="0.2">
      <c r="B35" s="1206"/>
      <c r="C35" s="1366" t="s">
        <v>911</v>
      </c>
      <c r="D35" s="1367" t="s">
        <v>952</v>
      </c>
      <c r="E35" s="1367"/>
      <c r="F35" s="1367"/>
      <c r="G35" s="1348"/>
      <c r="H35" s="1372"/>
      <c r="I35" s="1364">
        <f t="shared" si="6"/>
        <v>0</v>
      </c>
      <c r="J35" s="1365">
        <f>I35/15</f>
        <v>0</v>
      </c>
    </row>
    <row r="36" spans="1:10" x14ac:dyDescent="0.2">
      <c r="B36" s="1388"/>
      <c r="C36" s="1389"/>
      <c r="D36" s="1390" t="s">
        <v>954</v>
      </c>
      <c r="E36" s="1391"/>
      <c r="F36" s="1390"/>
      <c r="G36" s="1348"/>
      <c r="H36" s="1392"/>
      <c r="I36" s="1393"/>
      <c r="J36" s="1394"/>
    </row>
    <row r="37" spans="1:10" x14ac:dyDescent="0.2">
      <c r="B37" s="1388"/>
      <c r="C37" s="1389"/>
      <c r="D37" s="1390" t="s">
        <v>955</v>
      </c>
      <c r="E37" s="1391"/>
      <c r="F37" s="1390"/>
      <c r="G37" s="1348"/>
      <c r="H37" s="1392"/>
      <c r="I37" s="1393"/>
      <c r="J37" s="1394"/>
    </row>
    <row r="38" spans="1:10" x14ac:dyDescent="0.2">
      <c r="A38" s="755"/>
      <c r="B38" s="1324"/>
      <c r="C38" s="1325"/>
      <c r="D38" s="1335" t="s">
        <v>664</v>
      </c>
      <c r="E38" s="1347"/>
      <c r="F38" s="1335" t="s">
        <v>927</v>
      </c>
      <c r="G38" s="1345" t="s">
        <v>280</v>
      </c>
      <c r="H38" s="1334" t="s">
        <v>442</v>
      </c>
      <c r="I38" s="1329" t="s">
        <v>443</v>
      </c>
      <c r="J38" s="1330" t="s">
        <v>443</v>
      </c>
    </row>
    <row r="39" spans="1:10" x14ac:dyDescent="0.2">
      <c r="A39" s="755"/>
      <c r="B39" s="1326"/>
      <c r="C39" s="1327"/>
      <c r="D39" s="1336"/>
      <c r="E39" s="1337" t="s">
        <v>900</v>
      </c>
      <c r="F39" s="1349" t="s">
        <v>725</v>
      </c>
      <c r="G39" s="1331" t="s">
        <v>669</v>
      </c>
      <c r="H39" s="1332" t="s">
        <v>448</v>
      </c>
      <c r="I39" s="1332" t="s">
        <v>445</v>
      </c>
      <c r="J39" s="1333" t="s">
        <v>315</v>
      </c>
    </row>
    <row r="40" spans="1:10" x14ac:dyDescent="0.2">
      <c r="A40" s="755"/>
      <c r="B40" s="1311"/>
      <c r="C40" s="1307" t="s">
        <v>918</v>
      </c>
      <c r="D40" s="1313"/>
      <c r="E40" s="1313"/>
      <c r="F40" s="1360"/>
      <c r="G40" s="1317"/>
      <c r="H40" s="1357"/>
      <c r="I40" s="1315">
        <f>G40*H40</f>
        <v>0</v>
      </c>
      <c r="J40" s="1316">
        <f>I40/15</f>
        <v>0</v>
      </c>
    </row>
    <row r="41" spans="1:10" x14ac:dyDescent="0.2">
      <c r="A41" s="755"/>
      <c r="B41" s="1311"/>
      <c r="C41" s="1312" t="s">
        <v>641</v>
      </c>
      <c r="D41" s="1313" t="s">
        <v>916</v>
      </c>
      <c r="E41" s="1313"/>
      <c r="F41" s="1313"/>
      <c r="G41" s="1314"/>
      <c r="H41" s="1357"/>
      <c r="I41" s="1315">
        <f t="shared" ref="I41:I45" si="8">G41*H41</f>
        <v>0</v>
      </c>
      <c r="J41" s="1316">
        <f t="shared" ref="J41:J45" si="9">I41/15</f>
        <v>0</v>
      </c>
    </row>
    <row r="42" spans="1:10" x14ac:dyDescent="0.2">
      <c r="A42" s="755"/>
      <c r="B42" s="1311"/>
      <c r="C42" s="1312" t="s">
        <v>642</v>
      </c>
      <c r="D42" s="1313" t="s">
        <v>916</v>
      </c>
      <c r="E42" s="1313"/>
      <c r="F42" s="1313"/>
      <c r="G42" s="1314"/>
      <c r="H42" s="1357"/>
      <c r="I42" s="1315">
        <f t="shared" si="8"/>
        <v>0</v>
      </c>
      <c r="J42" s="1316">
        <f t="shared" si="9"/>
        <v>0</v>
      </c>
    </row>
    <row r="43" spans="1:10" x14ac:dyDescent="0.2">
      <c r="A43" s="755"/>
      <c r="B43" s="1311"/>
      <c r="C43" s="1312" t="s">
        <v>643</v>
      </c>
      <c r="D43" s="1313" t="s">
        <v>916</v>
      </c>
      <c r="E43" s="1313"/>
      <c r="F43" s="1313"/>
      <c r="G43" s="1314"/>
      <c r="H43" s="1357"/>
      <c r="I43" s="1315">
        <f t="shared" si="8"/>
        <v>0</v>
      </c>
      <c r="J43" s="1316">
        <f t="shared" si="9"/>
        <v>0</v>
      </c>
    </row>
    <row r="44" spans="1:10" x14ac:dyDescent="0.2">
      <c r="A44" s="755"/>
      <c r="B44" s="1311"/>
      <c r="C44" s="1312" t="s">
        <v>644</v>
      </c>
      <c r="D44" s="1313" t="s">
        <v>916</v>
      </c>
      <c r="E44" s="1313"/>
      <c r="F44" s="1313"/>
      <c r="G44" s="1314"/>
      <c r="H44" s="1357"/>
      <c r="I44" s="1315">
        <f t="shared" si="8"/>
        <v>0</v>
      </c>
      <c r="J44" s="1316">
        <f t="shared" si="9"/>
        <v>0</v>
      </c>
    </row>
    <row r="45" spans="1:10" x14ac:dyDescent="0.2">
      <c r="A45" s="755"/>
      <c r="B45" s="1318"/>
      <c r="C45" s="1319" t="s">
        <v>645</v>
      </c>
      <c r="D45" s="1320" t="s">
        <v>916</v>
      </c>
      <c r="E45" s="1320"/>
      <c r="F45" s="1320"/>
      <c r="G45" s="1321"/>
      <c r="H45" s="1358"/>
      <c r="I45" s="1322">
        <f t="shared" si="8"/>
        <v>0</v>
      </c>
      <c r="J45" s="1323">
        <f t="shared" si="9"/>
        <v>0</v>
      </c>
    </row>
    <row r="47" spans="1:10" ht="18" x14ac:dyDescent="0.2">
      <c r="B47" s="1218">
        <v>3</v>
      </c>
      <c r="C47" s="1234" t="s">
        <v>917</v>
      </c>
      <c r="D47" s="1219"/>
      <c r="E47" s="1219"/>
      <c r="F47" s="1219"/>
      <c r="G47" s="882"/>
      <c r="H47" s="884"/>
      <c r="I47" s="884"/>
      <c r="J47" s="1220"/>
    </row>
    <row r="48" spans="1:10" x14ac:dyDescent="0.2">
      <c r="B48" s="807"/>
      <c r="C48" s="810"/>
      <c r="D48" s="1279" t="s">
        <v>718</v>
      </c>
      <c r="E48" s="1280"/>
      <c r="F48" s="1227"/>
      <c r="G48" s="1003" t="s">
        <v>863</v>
      </c>
      <c r="H48" s="1334" t="s">
        <v>442</v>
      </c>
      <c r="I48" s="1069" t="s">
        <v>443</v>
      </c>
      <c r="J48" s="1070" t="s">
        <v>443</v>
      </c>
    </row>
    <row r="49" spans="2:10" x14ac:dyDescent="0.2">
      <c r="B49" s="1235"/>
      <c r="C49" s="1236"/>
      <c r="D49" s="1176"/>
      <c r="E49" s="1177"/>
      <c r="F49" s="1178"/>
      <c r="G49" s="739" t="s">
        <v>834</v>
      </c>
      <c r="H49" s="1332" t="s">
        <v>448</v>
      </c>
      <c r="I49" s="858" t="s">
        <v>445</v>
      </c>
      <c r="J49" s="859" t="s">
        <v>315</v>
      </c>
    </row>
    <row r="50" spans="2:10" ht="25.5" x14ac:dyDescent="0.2">
      <c r="B50" s="1222"/>
      <c r="C50" s="1359" t="s">
        <v>902</v>
      </c>
      <c r="D50" s="1373" t="s">
        <v>956</v>
      </c>
      <c r="E50" s="1304"/>
      <c r="F50" s="1374"/>
      <c r="G50" s="1090"/>
      <c r="H50" s="1370"/>
      <c r="I50" s="960">
        <f t="shared" ref="I50:I54" si="10">G50*H50</f>
        <v>0</v>
      </c>
      <c r="J50" s="928">
        <f t="shared" ref="J50:J54" si="11">I50/15</f>
        <v>0</v>
      </c>
    </row>
    <row r="51" spans="2:10" x14ac:dyDescent="0.2">
      <c r="B51" s="1222"/>
      <c r="C51" s="1223" t="s">
        <v>903</v>
      </c>
      <c r="D51" s="1375" t="s">
        <v>957</v>
      </c>
      <c r="E51" s="1304"/>
      <c r="F51" s="1374"/>
      <c r="G51" s="1090"/>
      <c r="H51" s="1370"/>
      <c r="I51" s="960">
        <f t="shared" si="10"/>
        <v>0</v>
      </c>
      <c r="J51" s="928">
        <f t="shared" si="11"/>
        <v>0</v>
      </c>
    </row>
    <row r="52" spans="2:10" x14ac:dyDescent="0.2">
      <c r="B52" s="1222"/>
      <c r="C52" s="1223" t="s">
        <v>907</v>
      </c>
      <c r="D52" s="1375" t="s">
        <v>958</v>
      </c>
      <c r="E52" s="1304"/>
      <c r="F52" s="1374"/>
      <c r="G52" s="1090"/>
      <c r="H52" s="1370"/>
      <c r="I52" s="960">
        <f t="shared" si="10"/>
        <v>0</v>
      </c>
      <c r="J52" s="928">
        <f t="shared" si="11"/>
        <v>0</v>
      </c>
    </row>
    <row r="53" spans="2:10" x14ac:dyDescent="0.2">
      <c r="B53" s="1222"/>
      <c r="C53" s="1223" t="s">
        <v>909</v>
      </c>
      <c r="D53" s="1375" t="s">
        <v>959</v>
      </c>
      <c r="E53" s="1304"/>
      <c r="F53" s="1374"/>
      <c r="G53" s="1090"/>
      <c r="H53" s="1370"/>
      <c r="I53" s="960">
        <f t="shared" si="10"/>
        <v>0</v>
      </c>
      <c r="J53" s="928">
        <f t="shared" si="11"/>
        <v>0</v>
      </c>
    </row>
    <row r="54" spans="2:10" x14ac:dyDescent="0.2">
      <c r="B54" s="1222"/>
      <c r="C54" s="1223" t="s">
        <v>911</v>
      </c>
      <c r="D54" s="1376" t="s">
        <v>960</v>
      </c>
      <c r="E54" s="1305"/>
      <c r="F54" s="1377"/>
      <c r="G54" s="1090"/>
      <c r="H54" s="1370"/>
      <c r="I54" s="960">
        <f t="shared" si="10"/>
        <v>0</v>
      </c>
      <c r="J54" s="928">
        <f t="shared" si="11"/>
        <v>0</v>
      </c>
    </row>
    <row r="55" spans="2:10" x14ac:dyDescent="0.2">
      <c r="B55" s="1388"/>
      <c r="C55" s="1395"/>
      <c r="D55" s="1391" t="s">
        <v>961</v>
      </c>
      <c r="E55" s="1391"/>
      <c r="F55" s="1391"/>
      <c r="G55" s="901"/>
      <c r="H55" s="1396"/>
      <c r="I55" s="1397"/>
      <c r="J55" s="1398"/>
    </row>
    <row r="56" spans="2:10" x14ac:dyDescent="0.2">
      <c r="B56" s="1324"/>
      <c r="C56" s="1325"/>
      <c r="D56" s="1335" t="s">
        <v>664</v>
      </c>
      <c r="E56" s="1347"/>
      <c r="F56" s="1346" t="s">
        <v>921</v>
      </c>
      <c r="G56" s="1345" t="s">
        <v>280</v>
      </c>
      <c r="H56" s="1334" t="s">
        <v>442</v>
      </c>
      <c r="I56" s="1329" t="s">
        <v>443</v>
      </c>
      <c r="J56" s="1330" t="s">
        <v>443</v>
      </c>
    </row>
    <row r="57" spans="2:10" x14ac:dyDescent="0.2">
      <c r="B57" s="1326"/>
      <c r="C57" s="1327"/>
      <c r="D57" s="1336"/>
      <c r="E57" s="1337" t="s">
        <v>900</v>
      </c>
      <c r="F57" s="1349" t="s">
        <v>922</v>
      </c>
      <c r="G57" s="1331" t="s">
        <v>669</v>
      </c>
      <c r="H57" s="1332" t="s">
        <v>448</v>
      </c>
      <c r="I57" s="1332" t="s">
        <v>445</v>
      </c>
      <c r="J57" s="1333" t="s">
        <v>315</v>
      </c>
    </row>
    <row r="58" spans="2:10" x14ac:dyDescent="0.2">
      <c r="B58" s="1311"/>
      <c r="C58" s="1307" t="s">
        <v>928</v>
      </c>
      <c r="D58" s="1313"/>
      <c r="E58" s="1313"/>
      <c r="F58" s="1313"/>
      <c r="G58" s="1317"/>
      <c r="H58" s="1357"/>
      <c r="I58" s="1315">
        <f t="shared" ref="I58:I63" si="12">G58*H58</f>
        <v>0</v>
      </c>
      <c r="J58" s="1316">
        <f t="shared" ref="J58:J63" si="13">I58/15</f>
        <v>0</v>
      </c>
    </row>
    <row r="59" spans="2:10" x14ac:dyDescent="0.2">
      <c r="B59" s="1311"/>
      <c r="C59" s="1312" t="s">
        <v>641</v>
      </c>
      <c r="D59" s="1313"/>
      <c r="E59" s="1313"/>
      <c r="F59" s="1313"/>
      <c r="G59" s="1314"/>
      <c r="H59" s="1357"/>
      <c r="I59" s="1315">
        <f t="shared" si="12"/>
        <v>0</v>
      </c>
      <c r="J59" s="1316">
        <f t="shared" si="13"/>
        <v>0</v>
      </c>
    </row>
    <row r="60" spans="2:10" x14ac:dyDescent="0.2">
      <c r="B60" s="1311"/>
      <c r="C60" s="1312" t="s">
        <v>642</v>
      </c>
      <c r="D60" s="1313"/>
      <c r="E60" s="1313"/>
      <c r="F60" s="1313"/>
      <c r="G60" s="1314"/>
      <c r="H60" s="1357"/>
      <c r="I60" s="1315">
        <f t="shared" si="12"/>
        <v>0</v>
      </c>
      <c r="J60" s="1316">
        <f t="shared" si="13"/>
        <v>0</v>
      </c>
    </row>
    <row r="61" spans="2:10" x14ac:dyDescent="0.2">
      <c r="B61" s="1311"/>
      <c r="C61" s="1312" t="s">
        <v>643</v>
      </c>
      <c r="D61" s="1313"/>
      <c r="E61" s="1313"/>
      <c r="F61" s="1313"/>
      <c r="G61" s="1314"/>
      <c r="H61" s="1357"/>
      <c r="I61" s="1315">
        <f t="shared" si="12"/>
        <v>0</v>
      </c>
      <c r="J61" s="1316">
        <f t="shared" si="13"/>
        <v>0</v>
      </c>
    </row>
    <row r="62" spans="2:10" x14ac:dyDescent="0.2">
      <c r="B62" s="1311"/>
      <c r="C62" s="1312" t="s">
        <v>644</v>
      </c>
      <c r="D62" s="1313"/>
      <c r="E62" s="1313"/>
      <c r="F62" s="1313"/>
      <c r="G62" s="1314"/>
      <c r="H62" s="1357"/>
      <c r="I62" s="1315">
        <f t="shared" si="12"/>
        <v>0</v>
      </c>
      <c r="J62" s="1316">
        <f t="shared" si="13"/>
        <v>0</v>
      </c>
    </row>
    <row r="63" spans="2:10" x14ac:dyDescent="0.2">
      <c r="B63" s="1350"/>
      <c r="C63" s="1319" t="s">
        <v>645</v>
      </c>
      <c r="D63" s="1351"/>
      <c r="E63" s="1352"/>
      <c r="F63" s="1352"/>
      <c r="G63" s="1352"/>
      <c r="H63" s="1358"/>
      <c r="I63" s="1322">
        <f t="shared" si="12"/>
        <v>0</v>
      </c>
      <c r="J63" s="1323">
        <f t="shared" si="13"/>
        <v>0</v>
      </c>
    </row>
  </sheetData>
  <mergeCells count="1">
    <mergeCell ref="D5:F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AH18"/>
  <sheetViews>
    <sheetView workbookViewId="0">
      <selection activeCell="S25" sqref="S25"/>
    </sheetView>
  </sheetViews>
  <sheetFormatPr defaultRowHeight="14.25" x14ac:dyDescent="0.2"/>
  <sheetData>
    <row r="1" spans="1:34" x14ac:dyDescent="0.2">
      <c r="A1" t="s">
        <v>149</v>
      </c>
      <c r="C1" t="s">
        <v>150</v>
      </c>
      <c r="E1" t="s">
        <v>151</v>
      </c>
      <c r="G1" t="s">
        <v>152</v>
      </c>
      <c r="I1" t="s">
        <v>32</v>
      </c>
      <c r="K1" t="s">
        <v>153</v>
      </c>
      <c r="M1" t="s">
        <v>154</v>
      </c>
      <c r="O1" t="s">
        <v>155</v>
      </c>
      <c r="Q1" t="s">
        <v>38</v>
      </c>
      <c r="U1" t="s">
        <v>156</v>
      </c>
      <c r="W1" t="s">
        <v>157</v>
      </c>
      <c r="Y1" t="s">
        <v>158</v>
      </c>
      <c r="AA1" t="s">
        <v>159</v>
      </c>
      <c r="AD1" t="s">
        <v>160</v>
      </c>
      <c r="AF1" t="s">
        <v>161</v>
      </c>
      <c r="AH1" t="s">
        <v>162</v>
      </c>
    </row>
    <row r="2" spans="1:34" x14ac:dyDescent="0.2">
      <c r="G2" t="s">
        <v>35</v>
      </c>
      <c r="I2" t="s">
        <v>33</v>
      </c>
      <c r="Q2" t="s">
        <v>39</v>
      </c>
      <c r="AH2" s="87" t="s">
        <v>1192</v>
      </c>
    </row>
    <row r="3" spans="1:34" x14ac:dyDescent="0.2">
      <c r="A3" t="s">
        <v>163</v>
      </c>
      <c r="C3" t="s">
        <v>164</v>
      </c>
      <c r="E3" t="s">
        <v>165</v>
      </c>
      <c r="G3" t="s">
        <v>166</v>
      </c>
      <c r="I3" t="s">
        <v>167</v>
      </c>
      <c r="K3" t="s">
        <v>168</v>
      </c>
      <c r="M3" t="s">
        <v>169</v>
      </c>
      <c r="O3" t="s">
        <v>166</v>
      </c>
      <c r="Q3" t="s">
        <v>14</v>
      </c>
      <c r="U3" t="s">
        <v>170</v>
      </c>
      <c r="W3" t="s">
        <v>37</v>
      </c>
      <c r="Y3" s="1057">
        <v>0.2</v>
      </c>
      <c r="AA3" t="s">
        <v>171</v>
      </c>
      <c r="AD3" t="s">
        <v>172</v>
      </c>
      <c r="AF3" t="s">
        <v>171</v>
      </c>
      <c r="AH3" s="87" t="s">
        <v>1193</v>
      </c>
    </row>
    <row r="4" spans="1:34" x14ac:dyDescent="0.2">
      <c r="A4" t="s">
        <v>173</v>
      </c>
      <c r="C4" t="s">
        <v>174</v>
      </c>
      <c r="E4" t="s">
        <v>175</v>
      </c>
      <c r="G4" t="s">
        <v>176</v>
      </c>
      <c r="I4" t="s">
        <v>177</v>
      </c>
      <c r="K4" t="s">
        <v>178</v>
      </c>
      <c r="M4" t="s">
        <v>179</v>
      </c>
      <c r="O4" t="s">
        <v>176</v>
      </c>
      <c r="Q4" t="s">
        <v>206</v>
      </c>
      <c r="U4" t="s">
        <v>180</v>
      </c>
      <c r="W4" t="s">
        <v>1177</v>
      </c>
      <c r="Y4" s="1057">
        <v>0.4</v>
      </c>
      <c r="AA4" t="s">
        <v>181</v>
      </c>
      <c r="AF4" t="s">
        <v>181</v>
      </c>
    </row>
    <row r="5" spans="1:34" x14ac:dyDescent="0.2">
      <c r="G5" t="s">
        <v>182</v>
      </c>
      <c r="I5" t="s">
        <v>183</v>
      </c>
      <c r="O5" t="s">
        <v>182</v>
      </c>
      <c r="Q5" t="s">
        <v>184</v>
      </c>
      <c r="Y5" s="1057">
        <v>0.6</v>
      </c>
      <c r="AA5" t="s">
        <v>185</v>
      </c>
      <c r="AF5" t="s">
        <v>185</v>
      </c>
    </row>
    <row r="6" spans="1:34" x14ac:dyDescent="0.2">
      <c r="G6" t="s">
        <v>186</v>
      </c>
      <c r="I6" t="s">
        <v>187</v>
      </c>
      <c r="O6" t="s">
        <v>188</v>
      </c>
      <c r="Q6" t="s">
        <v>204</v>
      </c>
      <c r="Y6" s="1057">
        <v>0.8</v>
      </c>
      <c r="AA6" t="s">
        <v>189</v>
      </c>
      <c r="AF6" t="s">
        <v>189</v>
      </c>
    </row>
    <row r="7" spans="1:34" x14ac:dyDescent="0.2">
      <c r="I7" t="s">
        <v>190</v>
      </c>
      <c r="Q7" t="s">
        <v>16</v>
      </c>
      <c r="Y7" s="1057">
        <v>1</v>
      </c>
      <c r="AA7" t="s">
        <v>191</v>
      </c>
      <c r="AF7" t="s">
        <v>192</v>
      </c>
    </row>
    <row r="8" spans="1:34" x14ac:dyDescent="0.2">
      <c r="I8" t="s">
        <v>193</v>
      </c>
      <c r="Q8" t="s">
        <v>205</v>
      </c>
      <c r="AF8" t="s">
        <v>191</v>
      </c>
    </row>
    <row r="9" spans="1:34" x14ac:dyDescent="0.2">
      <c r="I9" t="s">
        <v>194</v>
      </c>
      <c r="Q9" t="s">
        <v>17</v>
      </c>
      <c r="AF9" t="s">
        <v>195</v>
      </c>
    </row>
    <row r="10" spans="1:34" x14ac:dyDescent="0.2">
      <c r="I10" t="s">
        <v>196</v>
      </c>
      <c r="Q10" t="s">
        <v>18</v>
      </c>
    </row>
    <row r="11" spans="1:34" x14ac:dyDescent="0.2">
      <c r="I11" t="s">
        <v>197</v>
      </c>
      <c r="Q11" t="s">
        <v>19</v>
      </c>
    </row>
    <row r="12" spans="1:34" x14ac:dyDescent="0.2">
      <c r="I12" t="s">
        <v>198</v>
      </c>
      <c r="Q12" t="s">
        <v>220</v>
      </c>
    </row>
    <row r="13" spans="1:34" x14ac:dyDescent="0.2">
      <c r="I13" t="s">
        <v>199</v>
      </c>
    </row>
    <row r="14" spans="1:34" x14ac:dyDescent="0.2">
      <c r="I14" t="s">
        <v>200</v>
      </c>
    </row>
    <row r="15" spans="1:34" x14ac:dyDescent="0.2">
      <c r="I15" t="s">
        <v>201</v>
      </c>
    </row>
    <row r="16" spans="1:34" x14ac:dyDescent="0.2">
      <c r="I16" t="s">
        <v>202</v>
      </c>
    </row>
    <row r="17" spans="9:9" x14ac:dyDescent="0.2">
      <c r="I17" t="s">
        <v>203</v>
      </c>
    </row>
    <row r="18" spans="9:9" x14ac:dyDescent="0.2">
      <c r="I18" t="s">
        <v>1030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W23"/>
  <sheetViews>
    <sheetView workbookViewId="0">
      <selection activeCell="C24" sqref="C24"/>
    </sheetView>
  </sheetViews>
  <sheetFormatPr defaultRowHeight="14.25" x14ac:dyDescent="0.2"/>
  <cols>
    <col min="1" max="1" width="39.25" bestFit="1" customWidth="1"/>
    <col min="2" max="2" width="6.875" style="36" customWidth="1"/>
    <col min="3" max="3" width="7" style="36" customWidth="1"/>
    <col min="4" max="4" width="7.625" style="36" customWidth="1"/>
    <col min="5" max="5" width="8.875" style="36" customWidth="1"/>
    <col min="6" max="6" width="6.5" style="36" bestFit="1" customWidth="1"/>
    <col min="7" max="7" width="6.875" style="36" bestFit="1" customWidth="1"/>
    <col min="8" max="14" width="9" style="36"/>
    <col min="15" max="24" width="5.375" customWidth="1"/>
  </cols>
  <sheetData>
    <row r="1" spans="1:23" s="33" customFormat="1" x14ac:dyDescent="0.2">
      <c r="A1" s="38" t="s">
        <v>38</v>
      </c>
      <c r="B1" s="3164" t="s">
        <v>21</v>
      </c>
      <c r="C1" s="3164"/>
      <c r="D1" s="3164" t="s">
        <v>23</v>
      </c>
      <c r="E1" s="3164"/>
      <c r="F1" s="1966" t="s">
        <v>1155</v>
      </c>
      <c r="G1" s="1966" t="s">
        <v>1156</v>
      </c>
      <c r="H1" s="34" t="s">
        <v>214</v>
      </c>
      <c r="I1" s="34" t="s">
        <v>215</v>
      </c>
      <c r="J1" s="34" t="s">
        <v>216</v>
      </c>
      <c r="K1" s="34" t="s">
        <v>217</v>
      </c>
      <c r="L1" s="35" t="s">
        <v>218</v>
      </c>
      <c r="M1" s="34" t="s">
        <v>219</v>
      </c>
      <c r="N1" s="38" t="s">
        <v>221</v>
      </c>
      <c r="O1" s="3163" t="s">
        <v>234</v>
      </c>
      <c r="P1" s="3163"/>
      <c r="Q1" s="3163"/>
      <c r="R1" s="3163"/>
      <c r="S1" s="3163"/>
      <c r="T1" s="3163" t="s">
        <v>235</v>
      </c>
      <c r="U1" s="3163"/>
      <c r="V1" s="3163"/>
      <c r="W1" s="3163"/>
    </row>
    <row r="2" spans="1:23" x14ac:dyDescent="0.2">
      <c r="A2" s="39"/>
      <c r="B2" s="2087" t="s">
        <v>207</v>
      </c>
      <c r="C2" s="32" t="s">
        <v>208</v>
      </c>
      <c r="D2" s="2087" t="s">
        <v>207</v>
      </c>
      <c r="E2" s="32" t="s">
        <v>208</v>
      </c>
      <c r="F2" s="32" t="s">
        <v>207</v>
      </c>
      <c r="G2" s="32" t="s">
        <v>207</v>
      </c>
      <c r="H2" s="2087" t="s">
        <v>207</v>
      </c>
      <c r="I2" s="32" t="s">
        <v>207</v>
      </c>
      <c r="J2" s="32" t="s">
        <v>207</v>
      </c>
      <c r="K2" s="32" t="s">
        <v>207</v>
      </c>
      <c r="L2" s="32" t="s">
        <v>207</v>
      </c>
      <c r="M2" s="37"/>
      <c r="N2" s="40"/>
      <c r="O2" s="44">
        <v>1</v>
      </c>
      <c r="P2" s="44">
        <v>2</v>
      </c>
      <c r="Q2" s="44">
        <v>3</v>
      </c>
      <c r="R2" s="44">
        <v>4</v>
      </c>
      <c r="S2" s="44">
        <v>5</v>
      </c>
      <c r="T2" s="44">
        <v>1</v>
      </c>
      <c r="U2" s="44">
        <v>2</v>
      </c>
      <c r="V2" s="44">
        <v>3</v>
      </c>
      <c r="W2" s="44">
        <v>4</v>
      </c>
    </row>
    <row r="3" spans="1:23" x14ac:dyDescent="0.2">
      <c r="A3" s="40" t="s">
        <v>39</v>
      </c>
      <c r="B3" s="2088">
        <v>0</v>
      </c>
      <c r="C3" s="41">
        <v>0</v>
      </c>
      <c r="D3" s="2088">
        <v>40</v>
      </c>
      <c r="E3" s="41">
        <v>35</v>
      </c>
      <c r="F3" s="41">
        <v>30</v>
      </c>
      <c r="G3" s="41">
        <v>10</v>
      </c>
      <c r="H3" s="2088">
        <v>40</v>
      </c>
      <c r="I3" s="41">
        <v>0</v>
      </c>
      <c r="J3" s="41">
        <v>0</v>
      </c>
      <c r="K3" s="41">
        <v>0</v>
      </c>
      <c r="L3" s="41">
        <v>20</v>
      </c>
      <c r="M3" s="41">
        <f>B3+D3+H3+L3</f>
        <v>100</v>
      </c>
      <c r="N3" s="41">
        <f>C3+E3</f>
        <v>35</v>
      </c>
      <c r="O3" s="43"/>
      <c r="P3" s="43"/>
      <c r="Q3" s="43"/>
      <c r="R3" s="43"/>
      <c r="S3" s="43"/>
      <c r="T3" s="43"/>
      <c r="U3" s="43"/>
      <c r="V3" s="43"/>
      <c r="W3" s="43"/>
    </row>
    <row r="4" spans="1:23" s="1549" customFormat="1" x14ac:dyDescent="0.2">
      <c r="A4" s="40" t="s">
        <v>1060</v>
      </c>
      <c r="B4" s="2088">
        <v>80</v>
      </c>
      <c r="C4" s="41">
        <v>35</v>
      </c>
      <c r="D4" s="2088">
        <v>0</v>
      </c>
      <c r="E4" s="41">
        <v>0</v>
      </c>
      <c r="F4" s="41">
        <v>0</v>
      </c>
      <c r="G4" s="41">
        <v>0</v>
      </c>
      <c r="H4" s="2088">
        <v>0</v>
      </c>
      <c r="I4" s="41">
        <v>0</v>
      </c>
      <c r="J4" s="41">
        <v>0</v>
      </c>
      <c r="K4" s="41">
        <v>0</v>
      </c>
      <c r="L4" s="41">
        <v>20</v>
      </c>
      <c r="M4" s="41">
        <f t="shared" ref="M4:M13" si="0">B4+D4+H4+L4</f>
        <v>100</v>
      </c>
      <c r="N4" s="41">
        <f t="shared" ref="N4:N13" si="1">C4+E4</f>
        <v>35</v>
      </c>
      <c r="O4" s="43">
        <v>4</v>
      </c>
      <c r="P4" s="43">
        <v>4</v>
      </c>
      <c r="Q4" s="43">
        <v>4</v>
      </c>
      <c r="R4" s="43">
        <v>4</v>
      </c>
      <c r="S4" s="43">
        <v>4</v>
      </c>
      <c r="T4" s="43">
        <v>5</v>
      </c>
      <c r="U4" s="43">
        <v>4</v>
      </c>
      <c r="V4" s="43">
        <v>4</v>
      </c>
      <c r="W4" s="43">
        <v>5</v>
      </c>
    </row>
    <row r="5" spans="1:23" x14ac:dyDescent="0.2">
      <c r="A5" s="40" t="s">
        <v>14</v>
      </c>
      <c r="B5" s="2088">
        <v>60</v>
      </c>
      <c r="C5" s="41">
        <v>25</v>
      </c>
      <c r="D5" s="2088">
        <v>20</v>
      </c>
      <c r="E5" s="41">
        <v>10</v>
      </c>
      <c r="F5" s="41">
        <v>15</v>
      </c>
      <c r="G5" s="41">
        <v>5</v>
      </c>
      <c r="H5" s="2088">
        <v>0</v>
      </c>
      <c r="I5" s="41">
        <v>0</v>
      </c>
      <c r="J5" s="41">
        <v>0</v>
      </c>
      <c r="K5" s="41">
        <v>0</v>
      </c>
      <c r="L5" s="41">
        <v>20</v>
      </c>
      <c r="M5" s="41">
        <f t="shared" si="0"/>
        <v>100</v>
      </c>
      <c r="N5" s="41">
        <f t="shared" si="1"/>
        <v>35</v>
      </c>
      <c r="O5" s="43">
        <v>4</v>
      </c>
      <c r="P5" s="43">
        <v>4</v>
      </c>
      <c r="Q5" s="43">
        <v>4</v>
      </c>
      <c r="R5" s="43">
        <v>4</v>
      </c>
      <c r="S5" s="43">
        <v>3</v>
      </c>
      <c r="T5" s="43">
        <v>4</v>
      </c>
      <c r="U5" s="43">
        <v>4</v>
      </c>
      <c r="V5" s="43">
        <v>4</v>
      </c>
      <c r="W5" s="43">
        <v>4</v>
      </c>
    </row>
    <row r="6" spans="1:23" x14ac:dyDescent="0.2">
      <c r="A6" s="40" t="s">
        <v>206</v>
      </c>
      <c r="B6" s="2088">
        <v>50</v>
      </c>
      <c r="C6" s="41">
        <v>22</v>
      </c>
      <c r="D6" s="2088">
        <v>30</v>
      </c>
      <c r="E6" s="41">
        <v>13</v>
      </c>
      <c r="F6" s="41">
        <v>22</v>
      </c>
      <c r="G6" s="41">
        <v>8</v>
      </c>
      <c r="H6" s="2088">
        <v>0</v>
      </c>
      <c r="I6" s="41">
        <v>0</v>
      </c>
      <c r="J6" s="41">
        <v>0</v>
      </c>
      <c r="K6" s="41">
        <v>0</v>
      </c>
      <c r="L6" s="41">
        <v>20</v>
      </c>
      <c r="M6" s="41">
        <f t="shared" si="0"/>
        <v>100</v>
      </c>
      <c r="N6" s="41">
        <f t="shared" si="1"/>
        <v>35</v>
      </c>
      <c r="O6" s="43">
        <v>4</v>
      </c>
      <c r="P6" s="43">
        <v>4</v>
      </c>
      <c r="Q6" s="43">
        <v>4</v>
      </c>
      <c r="R6" s="43">
        <v>4</v>
      </c>
      <c r="S6" s="43">
        <v>4</v>
      </c>
      <c r="T6" s="43">
        <v>5</v>
      </c>
      <c r="U6" s="43">
        <v>4</v>
      </c>
      <c r="V6" s="43">
        <v>4</v>
      </c>
      <c r="W6" s="43">
        <v>5</v>
      </c>
    </row>
    <row r="7" spans="1:23" x14ac:dyDescent="0.2">
      <c r="A7" s="40" t="s">
        <v>1061</v>
      </c>
      <c r="B7" s="2088">
        <v>50</v>
      </c>
      <c r="C7" s="41">
        <v>22</v>
      </c>
      <c r="D7" s="2088">
        <v>30</v>
      </c>
      <c r="E7" s="41">
        <v>13</v>
      </c>
      <c r="F7" s="41">
        <v>22</v>
      </c>
      <c r="G7" s="41">
        <v>8</v>
      </c>
      <c r="H7" s="2088">
        <v>0</v>
      </c>
      <c r="I7" s="41">
        <v>0</v>
      </c>
      <c r="J7" s="41">
        <v>0</v>
      </c>
      <c r="K7" s="41">
        <v>0</v>
      </c>
      <c r="L7" s="41">
        <v>20</v>
      </c>
      <c r="M7" s="41">
        <f t="shared" si="0"/>
        <v>100</v>
      </c>
      <c r="N7" s="41">
        <f t="shared" si="1"/>
        <v>35</v>
      </c>
      <c r="O7" s="43">
        <v>4</v>
      </c>
      <c r="P7" s="43">
        <v>4</v>
      </c>
      <c r="Q7" s="43">
        <v>4</v>
      </c>
      <c r="R7" s="43">
        <v>4</v>
      </c>
      <c r="S7" s="43">
        <v>3</v>
      </c>
      <c r="T7" s="43">
        <v>4</v>
      </c>
      <c r="U7" s="43">
        <v>4</v>
      </c>
      <c r="V7" s="43">
        <v>4</v>
      </c>
      <c r="W7" s="43">
        <v>4</v>
      </c>
    </row>
    <row r="8" spans="1:23" x14ac:dyDescent="0.2">
      <c r="A8" s="40" t="s">
        <v>1189</v>
      </c>
      <c r="B8" s="2088">
        <v>40</v>
      </c>
      <c r="C8" s="41">
        <v>20</v>
      </c>
      <c r="D8" s="2088">
        <v>40</v>
      </c>
      <c r="E8" s="41">
        <v>15</v>
      </c>
      <c r="F8" s="41">
        <v>30</v>
      </c>
      <c r="G8" s="41">
        <v>10</v>
      </c>
      <c r="H8" s="2088">
        <v>0</v>
      </c>
      <c r="I8" s="41">
        <v>0</v>
      </c>
      <c r="J8" s="41">
        <v>0</v>
      </c>
      <c r="K8" s="41">
        <v>0</v>
      </c>
      <c r="L8" s="41">
        <v>20</v>
      </c>
      <c r="M8" s="41">
        <f t="shared" si="0"/>
        <v>100</v>
      </c>
      <c r="N8" s="41">
        <f t="shared" si="1"/>
        <v>35</v>
      </c>
      <c r="O8" s="43">
        <v>4</v>
      </c>
      <c r="P8" s="43">
        <v>4</v>
      </c>
      <c r="Q8" s="43">
        <v>4</v>
      </c>
      <c r="R8" s="43">
        <v>4</v>
      </c>
      <c r="S8" s="43">
        <v>3</v>
      </c>
      <c r="T8" s="43">
        <v>4</v>
      </c>
      <c r="U8" s="43">
        <v>4</v>
      </c>
      <c r="V8" s="43">
        <v>4</v>
      </c>
      <c r="W8" s="43">
        <v>4</v>
      </c>
    </row>
    <row r="9" spans="1:23" x14ac:dyDescent="0.2">
      <c r="A9" s="40" t="s">
        <v>16</v>
      </c>
      <c r="B9" s="2088">
        <v>40</v>
      </c>
      <c r="C9" s="41">
        <v>20</v>
      </c>
      <c r="D9" s="2088">
        <v>40</v>
      </c>
      <c r="E9" s="41">
        <v>15</v>
      </c>
      <c r="F9" s="41">
        <v>30</v>
      </c>
      <c r="G9" s="41">
        <v>10</v>
      </c>
      <c r="H9" s="2088">
        <v>0</v>
      </c>
      <c r="I9" s="41">
        <v>0</v>
      </c>
      <c r="J9" s="41">
        <v>0</v>
      </c>
      <c r="K9" s="41">
        <v>0</v>
      </c>
      <c r="L9" s="41">
        <v>20</v>
      </c>
      <c r="M9" s="41">
        <f t="shared" si="0"/>
        <v>100</v>
      </c>
      <c r="N9" s="41">
        <f t="shared" si="1"/>
        <v>35</v>
      </c>
      <c r="O9" s="43">
        <v>4</v>
      </c>
      <c r="P9" s="43">
        <v>4</v>
      </c>
      <c r="Q9" s="43">
        <v>4</v>
      </c>
      <c r="R9" s="43">
        <v>4</v>
      </c>
      <c r="S9" s="43">
        <v>3</v>
      </c>
      <c r="T9" s="43">
        <v>4</v>
      </c>
      <c r="U9" s="43">
        <v>4</v>
      </c>
      <c r="V9" s="43">
        <v>4</v>
      </c>
      <c r="W9" s="43">
        <v>4</v>
      </c>
    </row>
    <row r="10" spans="1:23" s="1549" customFormat="1" x14ac:dyDescent="0.2">
      <c r="A10" s="40" t="s">
        <v>1122</v>
      </c>
      <c r="B10" s="2088">
        <v>30</v>
      </c>
      <c r="C10" s="41">
        <v>15</v>
      </c>
      <c r="D10" s="2088">
        <v>40</v>
      </c>
      <c r="E10" s="41">
        <v>20</v>
      </c>
      <c r="F10" s="41">
        <v>30</v>
      </c>
      <c r="G10" s="41">
        <v>10</v>
      </c>
      <c r="H10" s="2088">
        <v>10</v>
      </c>
      <c r="I10" s="41">
        <v>0</v>
      </c>
      <c r="J10" s="41">
        <v>0</v>
      </c>
      <c r="K10" s="41">
        <v>0</v>
      </c>
      <c r="L10" s="41">
        <v>20</v>
      </c>
      <c r="M10" s="41">
        <f t="shared" si="0"/>
        <v>100</v>
      </c>
      <c r="N10" s="41">
        <f t="shared" si="1"/>
        <v>35</v>
      </c>
      <c r="O10" s="43">
        <v>4</v>
      </c>
      <c r="P10" s="43">
        <v>4</v>
      </c>
      <c r="Q10" s="43">
        <v>4</v>
      </c>
      <c r="R10" s="43">
        <v>4</v>
      </c>
      <c r="S10" s="43">
        <v>3</v>
      </c>
      <c r="T10" s="43">
        <v>4</v>
      </c>
      <c r="U10" s="43">
        <v>4</v>
      </c>
      <c r="V10" s="43">
        <v>4</v>
      </c>
      <c r="W10" s="43">
        <v>4</v>
      </c>
    </row>
    <row r="11" spans="1:23" x14ac:dyDescent="0.2">
      <c r="A11" s="40" t="s">
        <v>17</v>
      </c>
      <c r="B11" s="2088">
        <v>30</v>
      </c>
      <c r="C11" s="41">
        <v>15</v>
      </c>
      <c r="D11" s="2088">
        <v>40</v>
      </c>
      <c r="E11" s="41">
        <v>20</v>
      </c>
      <c r="F11" s="41">
        <v>30</v>
      </c>
      <c r="G11" s="41">
        <v>10</v>
      </c>
      <c r="H11" s="2088">
        <v>10</v>
      </c>
      <c r="I11" s="41">
        <v>0</v>
      </c>
      <c r="J11" s="41">
        <v>0</v>
      </c>
      <c r="K11" s="41">
        <v>0</v>
      </c>
      <c r="L11" s="41">
        <v>20</v>
      </c>
      <c r="M11" s="41">
        <f t="shared" si="0"/>
        <v>100</v>
      </c>
      <c r="N11" s="41">
        <f t="shared" si="1"/>
        <v>35</v>
      </c>
      <c r="O11" s="43">
        <v>4</v>
      </c>
      <c r="P11" s="43">
        <v>4</v>
      </c>
      <c r="Q11" s="43">
        <v>4</v>
      </c>
      <c r="R11" s="43">
        <v>4</v>
      </c>
      <c r="S11" s="43">
        <v>3</v>
      </c>
      <c r="T11" s="43">
        <v>4</v>
      </c>
      <c r="U11" s="43">
        <v>4</v>
      </c>
      <c r="V11" s="43">
        <v>4</v>
      </c>
      <c r="W11" s="43">
        <v>4</v>
      </c>
    </row>
    <row r="12" spans="1:23" x14ac:dyDescent="0.2">
      <c r="A12" s="40" t="s">
        <v>18</v>
      </c>
      <c r="B12" s="2088">
        <v>20</v>
      </c>
      <c r="C12" s="41">
        <v>10</v>
      </c>
      <c r="D12" s="2088">
        <v>40</v>
      </c>
      <c r="E12" s="41">
        <v>25</v>
      </c>
      <c r="F12" s="41">
        <v>30</v>
      </c>
      <c r="G12" s="41">
        <v>10</v>
      </c>
      <c r="H12" s="2088">
        <v>20</v>
      </c>
      <c r="I12" s="41">
        <v>0</v>
      </c>
      <c r="J12" s="41">
        <v>0</v>
      </c>
      <c r="K12" s="41">
        <v>0</v>
      </c>
      <c r="L12" s="41">
        <v>20</v>
      </c>
      <c r="M12" s="41">
        <f t="shared" si="0"/>
        <v>100</v>
      </c>
      <c r="N12" s="41">
        <f t="shared" si="1"/>
        <v>35</v>
      </c>
      <c r="O12" s="43">
        <v>4</v>
      </c>
      <c r="P12" s="43">
        <v>4</v>
      </c>
      <c r="Q12" s="43">
        <v>4</v>
      </c>
      <c r="R12" s="43">
        <v>4</v>
      </c>
      <c r="S12" s="43">
        <v>3</v>
      </c>
      <c r="T12" s="43">
        <v>4</v>
      </c>
      <c r="U12" s="43">
        <v>4</v>
      </c>
      <c r="V12" s="43">
        <v>4</v>
      </c>
      <c r="W12" s="43">
        <v>4</v>
      </c>
    </row>
    <row r="13" spans="1:23" x14ac:dyDescent="0.2">
      <c r="A13" s="40" t="s">
        <v>19</v>
      </c>
      <c r="B13" s="2088">
        <v>10</v>
      </c>
      <c r="C13" s="41">
        <v>7.5</v>
      </c>
      <c r="D13" s="2088">
        <v>40</v>
      </c>
      <c r="E13" s="41">
        <v>27.5</v>
      </c>
      <c r="F13" s="41">
        <v>30</v>
      </c>
      <c r="G13" s="41">
        <v>10</v>
      </c>
      <c r="H13" s="2088">
        <v>30</v>
      </c>
      <c r="I13" s="41">
        <v>0</v>
      </c>
      <c r="J13" s="41">
        <v>0</v>
      </c>
      <c r="K13" s="41">
        <v>0</v>
      </c>
      <c r="L13" s="41">
        <v>20</v>
      </c>
      <c r="M13" s="41">
        <f t="shared" si="0"/>
        <v>100</v>
      </c>
      <c r="N13" s="41">
        <f t="shared" si="1"/>
        <v>35</v>
      </c>
      <c r="O13" s="43">
        <v>4</v>
      </c>
      <c r="P13" s="43">
        <v>4</v>
      </c>
      <c r="Q13" s="43">
        <v>4</v>
      </c>
      <c r="R13" s="43">
        <v>4</v>
      </c>
      <c r="S13" s="43">
        <v>3</v>
      </c>
      <c r="T13" s="43">
        <v>4</v>
      </c>
      <c r="U13" s="43">
        <v>4</v>
      </c>
      <c r="V13" s="43">
        <v>4</v>
      </c>
      <c r="W13" s="43">
        <v>4</v>
      </c>
    </row>
    <row r="14" spans="1:23" x14ac:dyDescent="0.2">
      <c r="O14" s="36"/>
      <c r="P14" s="36"/>
      <c r="Q14" s="36"/>
      <c r="R14" s="36"/>
      <c r="S14" s="36"/>
      <c r="T14" s="36"/>
      <c r="U14" s="36"/>
      <c r="V14" s="36"/>
      <c r="W14" s="36"/>
    </row>
    <row r="15" spans="1:23" x14ac:dyDescent="0.2">
      <c r="A15" s="42" t="s">
        <v>888</v>
      </c>
    </row>
    <row r="16" spans="1:23" x14ac:dyDescent="0.2">
      <c r="A16" s="1274" t="s">
        <v>166</v>
      </c>
      <c r="B16" s="1274" t="s">
        <v>880</v>
      </c>
      <c r="C16" s="1275">
        <v>1</v>
      </c>
      <c r="D16" s="1274" t="s">
        <v>882</v>
      </c>
      <c r="E16" s="1275">
        <v>1</v>
      </c>
      <c r="F16" s="1274" t="s">
        <v>883</v>
      </c>
      <c r="G16" s="1275">
        <v>1</v>
      </c>
      <c r="H16" s="1274" t="s">
        <v>884</v>
      </c>
      <c r="I16" s="1275">
        <v>2</v>
      </c>
      <c r="J16" s="1274" t="s">
        <v>887</v>
      </c>
      <c r="K16" s="1275">
        <v>1</v>
      </c>
    </row>
    <row r="17" spans="1:14" x14ac:dyDescent="0.2">
      <c r="A17" s="1274" t="s">
        <v>176</v>
      </c>
      <c r="B17" s="1274" t="s">
        <v>881</v>
      </c>
      <c r="C17" s="1275">
        <v>2</v>
      </c>
      <c r="D17" s="1274" t="s">
        <v>882</v>
      </c>
      <c r="E17" s="1275">
        <v>2</v>
      </c>
      <c r="F17" s="1274" t="s">
        <v>883</v>
      </c>
      <c r="G17" s="1275">
        <v>2</v>
      </c>
      <c r="H17" s="1274" t="s">
        <v>885</v>
      </c>
      <c r="I17" s="1275">
        <v>2</v>
      </c>
      <c r="J17" s="1275"/>
      <c r="K17" s="1274"/>
      <c r="N17" s="1275"/>
    </row>
    <row r="18" spans="1:14" x14ac:dyDescent="0.2">
      <c r="A18" s="1274" t="s">
        <v>182</v>
      </c>
      <c r="B18" s="1274" t="s">
        <v>881</v>
      </c>
      <c r="C18" s="1275">
        <v>1</v>
      </c>
      <c r="D18" s="1274" t="s">
        <v>882</v>
      </c>
      <c r="E18" s="1275">
        <v>2</v>
      </c>
      <c r="F18" s="1274" t="s">
        <v>889</v>
      </c>
      <c r="G18" s="1275">
        <v>2</v>
      </c>
      <c r="H18" s="1274" t="s">
        <v>886</v>
      </c>
      <c r="I18" s="1275">
        <v>1</v>
      </c>
      <c r="J18" s="1275"/>
      <c r="K18" s="1274"/>
      <c r="N18" s="1275"/>
    </row>
    <row r="19" spans="1:14" x14ac:dyDescent="0.2">
      <c r="A19" s="1274"/>
      <c r="B19"/>
      <c r="C19"/>
      <c r="D19"/>
      <c r="E19"/>
      <c r="F19" s="1549"/>
      <c r="G19" s="1549"/>
      <c r="H19"/>
      <c r="I19" s="1274"/>
      <c r="J19" s="1275"/>
      <c r="K19" s="1274"/>
      <c r="L19" s="1275"/>
      <c r="M19" s="1274"/>
      <c r="N19" s="1275"/>
    </row>
    <row r="20" spans="1:14" x14ac:dyDescent="0.2">
      <c r="B20"/>
      <c r="C20"/>
      <c r="D20"/>
      <c r="E20"/>
      <c r="F20" s="1549"/>
      <c r="G20" s="1549"/>
      <c r="H20"/>
      <c r="I20" s="1274"/>
      <c r="J20" s="1275"/>
      <c r="K20" s="1274"/>
      <c r="L20" s="1275"/>
      <c r="M20" s="1274"/>
      <c r="N20" s="1275"/>
    </row>
    <row r="21" spans="1:14" x14ac:dyDescent="0.2">
      <c r="A21" s="2097" t="s">
        <v>162</v>
      </c>
      <c r="B21" s="2097" t="s">
        <v>1168</v>
      </c>
      <c r="C21" s="2096" t="s">
        <v>806</v>
      </c>
      <c r="D21"/>
      <c r="E21"/>
      <c r="F21" s="1549"/>
      <c r="G21" s="1549"/>
      <c r="H21"/>
      <c r="I21" s="1274"/>
      <c r="J21" s="1275"/>
      <c r="K21" s="1274"/>
      <c r="L21" s="1275"/>
      <c r="M21" s="1275"/>
      <c r="N21" s="1275"/>
    </row>
    <row r="22" spans="1:14" x14ac:dyDescent="0.2">
      <c r="A22" s="2098" t="s">
        <v>1192</v>
      </c>
      <c r="B22" s="2098" t="s">
        <v>1194</v>
      </c>
      <c r="C22" s="2098" t="s">
        <v>1196</v>
      </c>
    </row>
    <row r="23" spans="1:14" x14ac:dyDescent="0.2">
      <c r="A23" s="2098" t="s">
        <v>1193</v>
      </c>
      <c r="B23" s="2098" t="s">
        <v>1195</v>
      </c>
      <c r="C23" s="2098" t="s">
        <v>1197</v>
      </c>
    </row>
  </sheetData>
  <mergeCells count="4">
    <mergeCell ref="O1:S1"/>
    <mergeCell ref="T1:W1"/>
    <mergeCell ref="B1:C1"/>
    <mergeCell ref="D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 tint="-0.249977111117893"/>
  </sheetPr>
  <dimension ref="A1:AR130"/>
  <sheetViews>
    <sheetView showGridLines="0" tabSelected="1" zoomScale="110" zoomScaleNormal="110" workbookViewId="0">
      <selection activeCell="T5" sqref="T5"/>
    </sheetView>
  </sheetViews>
  <sheetFormatPr defaultRowHeight="14.25" x14ac:dyDescent="0.2"/>
  <cols>
    <col min="1" max="1" width="2.625" style="1442" customWidth="1"/>
    <col min="2" max="2" width="14" style="1442" customWidth="1"/>
    <col min="3" max="3" width="14.5" style="1442" customWidth="1"/>
    <col min="4" max="4" width="10" style="1442" customWidth="1"/>
    <col min="5" max="5" width="1.75" style="1442" customWidth="1"/>
    <col min="6" max="6" width="12.625" style="1442" customWidth="1"/>
    <col min="7" max="7" width="9.25" style="1442" customWidth="1"/>
    <col min="8" max="8" width="6.875" style="1442" customWidth="1"/>
    <col min="9" max="9" width="8.125" style="1442" customWidth="1"/>
    <col min="10" max="10" width="2.5" style="1442" customWidth="1"/>
    <col min="11" max="11" width="10.25" style="1442" customWidth="1"/>
    <col min="12" max="17" width="6.5" style="1442" customWidth="1"/>
    <col min="18" max="18" width="2.875" style="1442" customWidth="1"/>
    <col min="19" max="19" width="1.5" style="1442" customWidth="1"/>
    <col min="20" max="20" width="9" style="1442"/>
    <col min="21" max="21" width="11.5" style="1442" customWidth="1"/>
    <col min="22" max="22" width="7.25" style="1442" customWidth="1"/>
    <col min="23" max="25" width="9" style="1442"/>
    <col min="26" max="26" width="2.5" style="1442" customWidth="1"/>
    <col min="27" max="27" width="2" style="1442" customWidth="1"/>
    <col min="28" max="35" width="9" style="1442" hidden="1" customWidth="1"/>
    <col min="36" max="36" width="3.875" style="1442" hidden="1" customWidth="1"/>
    <col min="37" max="44" width="5.625" style="1442" hidden="1" customWidth="1"/>
    <col min="45" max="16384" width="9" style="1442"/>
  </cols>
  <sheetData>
    <row r="1" spans="1:37" ht="21" customHeight="1" x14ac:dyDescent="0.55000000000000004">
      <c r="A1" s="18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2016" t="s">
        <v>27</v>
      </c>
      <c r="R1" s="1521"/>
      <c r="S1" s="1521"/>
      <c r="T1" s="1521"/>
      <c r="U1" s="1521"/>
      <c r="V1" s="1521"/>
      <c r="W1" s="1521"/>
      <c r="X1" s="1521"/>
      <c r="Y1" s="1521"/>
      <c r="Z1" s="1521"/>
      <c r="AA1" s="1521"/>
      <c r="AB1" s="1521"/>
      <c r="AC1" s="1521"/>
      <c r="AD1" s="1521"/>
      <c r="AE1" s="1521"/>
    </row>
    <row r="2" spans="1:37" ht="21" customHeight="1" x14ac:dyDescent="0.2">
      <c r="A2" s="2017"/>
      <c r="B2" s="2017"/>
      <c r="C2" s="2017"/>
      <c r="D2" s="2017"/>
      <c r="E2" s="2017"/>
      <c r="F2" s="2017"/>
      <c r="G2" s="2017"/>
      <c r="H2" s="2017"/>
      <c r="I2" s="2017"/>
      <c r="J2" s="2017"/>
      <c r="K2" s="2017"/>
      <c r="L2" s="2017"/>
      <c r="M2" s="2017"/>
      <c r="N2" s="2017"/>
      <c r="O2" s="2017"/>
      <c r="P2" s="2017"/>
      <c r="Q2" s="2017"/>
    </row>
    <row r="3" spans="1:37" ht="15" customHeight="1" x14ac:dyDescent="0.2">
      <c r="A3" s="2017"/>
      <c r="B3" s="2017"/>
      <c r="C3" s="2017"/>
      <c r="D3" s="2017"/>
      <c r="E3" s="2017"/>
      <c r="F3" s="2017"/>
      <c r="G3" s="2017"/>
      <c r="H3" s="2017"/>
      <c r="I3" s="2017"/>
      <c r="J3" s="2017"/>
      <c r="K3" s="2017"/>
      <c r="L3" s="2017"/>
      <c r="M3" s="2017"/>
      <c r="N3" s="2017"/>
      <c r="O3" s="2017"/>
      <c r="P3" s="2017"/>
      <c r="Q3" s="2017"/>
    </row>
    <row r="4" spans="1:37" ht="13.5" customHeight="1" x14ac:dyDescent="0.2">
      <c r="A4" s="2017"/>
      <c r="B4" s="2017"/>
      <c r="C4" s="2017"/>
      <c r="D4" s="2017"/>
      <c r="E4" s="2017"/>
      <c r="F4" s="2017"/>
      <c r="G4" s="2017"/>
      <c r="H4" s="2017"/>
      <c r="I4" s="2017"/>
      <c r="J4" s="2017"/>
      <c r="K4" s="2017"/>
      <c r="L4" s="2017"/>
      <c r="M4" s="2017"/>
      <c r="N4" s="2017"/>
      <c r="O4" s="2017"/>
      <c r="P4" s="2017"/>
      <c r="Q4" s="2017"/>
    </row>
    <row r="5" spans="1:37" ht="24.75" x14ac:dyDescent="0.6">
      <c r="A5" s="2432" t="s">
        <v>1164</v>
      </c>
      <c r="B5" s="2432"/>
      <c r="C5" s="2432"/>
      <c r="D5" s="2432"/>
      <c r="E5" s="2432"/>
      <c r="F5" s="2432"/>
      <c r="G5" s="2432"/>
      <c r="H5" s="2432"/>
      <c r="I5" s="2432"/>
      <c r="J5" s="2432"/>
      <c r="K5" s="2432"/>
      <c r="L5" s="2432"/>
      <c r="M5" s="2432"/>
      <c r="N5" s="2432"/>
      <c r="O5" s="2432"/>
      <c r="P5" s="2432"/>
      <c r="Q5" s="2432"/>
      <c r="R5" s="26"/>
      <c r="S5" s="1521"/>
      <c r="T5" s="1521"/>
      <c r="U5" s="1521"/>
      <c r="V5" s="1521"/>
      <c r="W5" s="1521"/>
      <c r="X5" s="1521"/>
      <c r="Y5" s="1521"/>
      <c r="Z5" s="1521"/>
      <c r="AA5" s="1521"/>
      <c r="AB5" s="1521"/>
      <c r="AC5" s="1521"/>
      <c r="AD5" s="1521"/>
      <c r="AE5" s="1521"/>
    </row>
    <row r="6" spans="1:37" ht="24.75" x14ac:dyDescent="0.6">
      <c r="A6" s="2432" t="s">
        <v>28</v>
      </c>
      <c r="B6" s="2432"/>
      <c r="C6" s="2432"/>
      <c r="D6" s="2432"/>
      <c r="E6" s="2432"/>
      <c r="F6" s="2432"/>
      <c r="G6" s="2432"/>
      <c r="H6" s="2432"/>
      <c r="I6" s="2432"/>
      <c r="J6" s="2432"/>
      <c r="K6" s="2432"/>
      <c r="L6" s="2432"/>
      <c r="M6" s="2432"/>
      <c r="N6" s="2432"/>
      <c r="O6" s="2432"/>
      <c r="P6" s="2432"/>
      <c r="Q6" s="2432"/>
      <c r="R6" s="27"/>
      <c r="S6" s="1521"/>
      <c r="T6" s="1521"/>
      <c r="U6" s="1521"/>
      <c r="V6" s="1521"/>
      <c r="W6" s="1521"/>
      <c r="X6" s="1521"/>
      <c r="Y6" s="1521"/>
      <c r="Z6" s="1521"/>
      <c r="AA6" s="1521"/>
      <c r="AB6" s="1521"/>
      <c r="AC6" s="1521"/>
      <c r="AD6" s="1521"/>
      <c r="AE6" s="1521"/>
    </row>
    <row r="7" spans="1:37" ht="13.5" customHeight="1" x14ac:dyDescent="0.6">
      <c r="A7" s="90"/>
      <c r="B7" s="90"/>
      <c r="C7" s="2018"/>
      <c r="D7" s="2018"/>
      <c r="E7" s="2018"/>
      <c r="F7" s="2018"/>
      <c r="G7" s="2018"/>
      <c r="H7" s="2018"/>
      <c r="I7" s="2018"/>
      <c r="J7" s="2018"/>
      <c r="K7" s="2018"/>
      <c r="L7" s="2018"/>
      <c r="M7" s="2018"/>
      <c r="N7" s="2018"/>
      <c r="O7" s="2018"/>
      <c r="P7" s="90"/>
      <c r="Q7" s="2019"/>
      <c r="R7" s="27"/>
      <c r="S7" s="1521"/>
      <c r="T7" s="1521"/>
      <c r="U7" s="1521"/>
      <c r="V7" s="1521"/>
      <c r="W7" s="1521"/>
      <c r="X7" s="1521"/>
      <c r="Y7" s="1521"/>
      <c r="Z7" s="1521"/>
      <c r="AA7" s="1521"/>
      <c r="AB7" s="1521"/>
      <c r="AC7" s="1521"/>
      <c r="AD7" s="1521"/>
      <c r="AE7" s="1521"/>
    </row>
    <row r="8" spans="1:37" ht="24.75" x14ac:dyDescent="0.6">
      <c r="A8" s="1576" t="s">
        <v>29</v>
      </c>
      <c r="B8" s="1576"/>
      <c r="C8" s="1577"/>
      <c r="D8" s="1577"/>
      <c r="E8" s="1577"/>
      <c r="F8" s="1577"/>
      <c r="G8" s="1577"/>
      <c r="H8" s="1577"/>
      <c r="I8" s="1577"/>
      <c r="J8" s="1577"/>
      <c r="K8" s="1577"/>
      <c r="L8" s="1577"/>
      <c r="M8" s="1577"/>
      <c r="N8" s="1577"/>
      <c r="O8" s="1577"/>
      <c r="P8" s="1578"/>
      <c r="Q8" s="1578"/>
      <c r="R8" s="1967"/>
      <c r="S8" s="21"/>
      <c r="T8" s="1594" t="s">
        <v>30</v>
      </c>
      <c r="U8" s="1595"/>
      <c r="V8" s="1595"/>
      <c r="W8" s="1595"/>
      <c r="X8" s="1596"/>
      <c r="Y8" s="1967"/>
      <c r="Z8" s="1967"/>
      <c r="AA8" s="1969"/>
      <c r="AB8" s="1440" t="s">
        <v>117</v>
      </c>
      <c r="AC8" s="1422" t="s">
        <v>207</v>
      </c>
      <c r="AD8" s="1422" t="s">
        <v>208</v>
      </c>
      <c r="AE8" s="1441" t="s">
        <v>224</v>
      </c>
      <c r="AF8" s="1441" t="s">
        <v>117</v>
      </c>
      <c r="AG8" s="1441" t="s">
        <v>222</v>
      </c>
      <c r="AH8" s="1441" t="s">
        <v>207</v>
      </c>
      <c r="AI8" s="1440" t="s">
        <v>225</v>
      </c>
    </row>
    <row r="9" spans="1:37" ht="22.5" x14ac:dyDescent="0.55000000000000004">
      <c r="A9" s="1579"/>
      <c r="B9" s="1579" t="s">
        <v>31</v>
      </c>
      <c r="C9" s="2453"/>
      <c r="D9" s="2454"/>
      <c r="E9" s="2454"/>
      <c r="F9" s="2454"/>
      <c r="G9" s="2455"/>
      <c r="H9" s="1637"/>
      <c r="I9" s="1580" t="s">
        <v>36</v>
      </c>
      <c r="J9" s="2309" t="s">
        <v>1178</v>
      </c>
      <c r="K9" s="2310"/>
      <c r="L9" s="2310"/>
      <c r="M9" s="2310"/>
      <c r="N9" s="2310"/>
      <c r="O9" s="2310"/>
      <c r="P9" s="2311"/>
      <c r="Q9" s="1634"/>
      <c r="R9" s="2"/>
      <c r="S9" s="22"/>
      <c r="T9" s="1597" t="s">
        <v>1012</v>
      </c>
      <c r="U9" s="1597"/>
      <c r="V9" s="1598"/>
      <c r="W9" s="1597"/>
      <c r="X9" s="1599"/>
      <c r="Y9" s="3"/>
      <c r="Z9" s="3"/>
      <c r="AA9" s="11"/>
      <c r="AB9" s="11" t="s">
        <v>209</v>
      </c>
      <c r="AC9" s="1519">
        <f>VLOOKUP(C13,น้ำหนัก!A3:N13,2,FALSE)</f>
        <v>0</v>
      </c>
      <c r="AD9" s="1519">
        <f>VLOOKUP(C13,น้ำหนัก!A3:N13,3,FALSE)</f>
        <v>0</v>
      </c>
      <c r="AE9" s="1519">
        <v>1</v>
      </c>
      <c r="AF9" s="1443" t="str">
        <f>IF(AC9=0,"",IF(C13="รองคณบดีหรือรองผู้อำนวยการสำนัก","1.1 การสนับสนุนงานของหน่วยงานให้สอดคล้องกับยุทธศาสตร์ของมหาวิทยาลัย",IF(C13="รองผู้อำนวยการหน่วยงานวิสาหกิจ/ผู้อำนวยการหน่วยงานวิสาหกิจระดับคณะ","1.1 การดำเนินงานวิสาหกิจตามนโยบายของสภามหาวิทยาลัย/หน่วยงาน",IF(C13="ประธานหลักสูตร","1.1 ระดับความสำเร็จในการบริหารงานหลักสูตร",IF(C13="เลขานุการหลักสูตร","1.1 ระดับความสำเร็จในการบริหารงานหลักสูตร",IF(C13="กรรมการหลักสูตร","1.1 ระดับความสำเร็จในการบริหารงานหลักสูตร",IF(C13="ผู้รับผิดชอบหลัก (งานยุทธศาสตร์มหาวิทยาลัย)","การบริหารงานตามตำแหน่งที่ได้รับแต่งตั้ง","")))))))</f>
        <v/>
      </c>
      <c r="AG9" s="1443" t="str">
        <f>IF(AC9=0,"",IF(C13="รองคณบดีหรือรองผู้อำนวยการสำนัก","ระดับความสำเร็จในการบริหารงานตามแผนยุทธศาสตร์ของมหาวิทยาลัย",IF(C13="รองผู้อำนวยการหน่วยงานวิสาหกิจ/ผู้อำนวยการหน่วยงานวิสาหกิจระดับคณะ","ระดับความสำเร็จในการดำเนินงานวิสาหกิจตามนโยบายของสภามหาวิทยาลัย",IF(C13="ประธานหลักสูตร","ระดับความสำเร็จในการบริหารงานหลักสูตร",IF(C13="เลขานุการหลักสูตร","ระดับความสำเร็จในการบริหารงานหลักสูตร",IF(C13="กรรมการหลักสูตร","ระดับความสำเร็จในการบริหารงานหลักสูตร",IF(C13="ผู้รับผิดชอบหลัก (งานยุทธศาสตร์มหาวิทยาลัย)","ร้อยละความสำเร็จของการบริหารงานเป็นไปตามแผนงาน และแสดงให้เห็นถึงคุณภาพของงาน การพัฒนางาน การป้องกันปัญหา และการแก้ไขปัญหา","")))))))</f>
        <v/>
      </c>
      <c r="AH9" s="1444" t="str">
        <f>IF(AC9=0,"",IF(C13="รองคณบดีหรือรองผู้อำนวยการสำนัก",30,IF(C13="รองผู้อำนวยการหน่วยงานวิสาหกิจ/ผู้อำนวยการหน่วยงานวิสาหกิจระดับคณะ",15,IF(C13="ประธานหลักสูตร",25,IF(C13="เลขานุการหลักสูตร",15,IF(C13="กรรมการหลักสูตร",5,IF(C13="ผู้รับผิดชอบหลัก (งานยุทธศาสตร์มหาวิทยาลัย)",AC9,"")))))))</f>
        <v/>
      </c>
      <c r="AI9" s="1443" t="str">
        <f>IF(AC9=0,"",IF(C13="รองคณบดีหรือรองผู้อำนวยการสำนัก","ค่าคะแนนจากกองแผนงาน",IF(C13="รองผู้อำนวยการหน่วยงานวิสาหกิจ/ผู้อำนวยการหน่วยงานวิสาหกิจระดับคณะ","คะแนนประเมินโดยผอ.หน่วยงานวิสาหกิจ/คณบดีที่หน่วยงานวิสาหกิจสังกัด",IF(C13="ประธานหลักสูตร","คะแนนประเมินโดยคณบดีและตามเกณฑ์ที่คณะกำหนด",IF(C13="เลขานุการหลักสูตร","คะแนนประเมินโดยคณบดีและตามเกณฑ์ที่คณะกำหนด",IF(C13="กรรมการหลักสูตร","คะแนนประเมินโดยคณบดีและตามเกณฑ์ที่คณะกำหนด",""))))))</f>
        <v/>
      </c>
      <c r="AK9" s="1442" t="str">
        <f>J11</f>
        <v>คณะวิทยาศาสตร์</v>
      </c>
    </row>
    <row r="10" spans="1:37" ht="5.25" customHeight="1" x14ac:dyDescent="0.55000000000000004">
      <c r="A10" s="1579"/>
      <c r="B10" s="1579"/>
      <c r="C10" s="1972"/>
      <c r="D10" s="1972"/>
      <c r="E10" s="1972"/>
      <c r="F10" s="1972"/>
      <c r="G10" s="1637"/>
      <c r="H10" s="1637"/>
      <c r="I10" s="1582"/>
      <c r="J10" s="1974"/>
      <c r="K10" s="1634"/>
      <c r="L10" s="1972"/>
      <c r="M10" s="1972"/>
      <c r="N10" s="1972"/>
      <c r="O10" s="1972"/>
      <c r="P10" s="1972"/>
      <c r="Q10" s="1972"/>
      <c r="R10" s="2"/>
      <c r="S10" s="22"/>
      <c r="T10" s="1597"/>
      <c r="U10" s="1597"/>
      <c r="V10" s="1597"/>
      <c r="W10" s="1597"/>
      <c r="X10" s="1599"/>
      <c r="Y10" s="3"/>
      <c r="Z10" s="3"/>
      <c r="AA10" s="11"/>
      <c r="AB10" s="11"/>
      <c r="AC10" s="1519"/>
      <c r="AD10" s="1519"/>
      <c r="AE10" s="1519"/>
      <c r="AF10" s="1443"/>
      <c r="AG10" s="1443"/>
      <c r="AH10" s="1444"/>
      <c r="AI10" s="1443"/>
    </row>
    <row r="11" spans="1:37" ht="22.5" x14ac:dyDescent="0.55000000000000004">
      <c r="A11" s="1579"/>
      <c r="B11" s="1579" t="s">
        <v>34</v>
      </c>
      <c r="C11" s="2456" t="s">
        <v>35</v>
      </c>
      <c r="D11" s="2457"/>
      <c r="E11" s="2457"/>
      <c r="F11" s="2457"/>
      <c r="G11" s="2458"/>
      <c r="H11" s="1637"/>
      <c r="I11" s="1582" t="s">
        <v>32</v>
      </c>
      <c r="J11" s="2446" t="s">
        <v>187</v>
      </c>
      <c r="K11" s="2447"/>
      <c r="L11" s="2447"/>
      <c r="M11" s="2447"/>
      <c r="N11" s="2447"/>
      <c r="O11" s="2447"/>
      <c r="P11" s="2448"/>
      <c r="Q11" s="1975"/>
      <c r="R11" s="2"/>
      <c r="S11" s="22"/>
      <c r="T11" s="1597" t="s">
        <v>1011</v>
      </c>
      <c r="U11" s="1597"/>
      <c r="V11" s="1600"/>
      <c r="W11" s="1597"/>
      <c r="X11" s="1599"/>
      <c r="Y11" s="3"/>
      <c r="Z11" s="3"/>
      <c r="AA11" s="11"/>
      <c r="AB11" s="11" t="s">
        <v>210</v>
      </c>
      <c r="AC11" s="1519">
        <f>VLOOKUP(C13,น้ำหนัก!A3:N13,4,FALSE)</f>
        <v>40</v>
      </c>
      <c r="AD11" s="1519">
        <f>VLOOKUP(C13,น้ำหนัก!A3:N13,5,FALSE)</f>
        <v>35</v>
      </c>
      <c r="AE11" s="1519">
        <v>2</v>
      </c>
      <c r="AF11" s="1443" t="str">
        <f>IF(AC9=0,"",IF(C13="รองคณบดีหรือรองผู้อำนวยการสำนัก","1.2 การบริหารงานตามแผนงานและตามตำแหน่งที่ได้รับการแต่งตั้ง โดยพิจารณาจากผลงานที่แสดงถึงการป้องกันปัญหา การแก้ไข ปัญหาและการพัฒนางาน",IF(C13="รองผู้อำนวยการหน่วยงานวิสาหกิจ/ผู้อำนวยการหน่วยงานวิสาหกิจระดับคณะ","1.2 การดำเนินงานตามแผนธุรกิจของวิสาหกิจ",IF(C13="ประธานหลักสูตร","1.2 การบริหารงานและการจัดการตามหลักธรรมาภิบาล",IF(C13="เลขานุการหลักสูตร","1.2 การบริหารงานและการจัดการตามหลักธรรมาภิบาล",IF(C13="กรรมการหลักสูตร","1.2 การบริหารงานและการจัดการตามหลักธรรมาภิบาล",""))))))</f>
        <v/>
      </c>
      <c r="AG11" s="1443" t="str">
        <f>IF(AC9=0,"",IF(C13="รองคณบดีหรือรองผู้อำนวยการสำนัก","ระดับความสำเร็จในการบริหารงานตามแผนงานตามตำแหน่งที่ได้รับแต่งตั้ง  โดยพิจารณาจากผลงานที่แสดงถึงการป้องกันปัญหา การแก้ไขปัญหาและการพัฒนางาน",IF(C13="รองผู้อำนวยการหน่วยงานวิสาหกิจ/ผู้อำนวยการหน่วยงานวิสาหกิจระดับคณะ","ระดับความสำเร็จในการบริหารงานตามแผนงานตามตำแหน่งที่ได้รับแต่งตั้ง  โดยพิจารณาจากผลงานที่แสดงถึงการป้องกันปัญหา การแก้ไขปัญหาและการพัฒนางาน
",IF(C13="ประธานหลักสูตร","ความสามารถในการบริหารและการจัดการตามหลักธรรมาภิบาล",IF(C13="เลขานุการหลักสูตร","ความสามารถในการบริหารและการจัดการตามหลักธรรมาภิบาล",IF(C13="กรรมการหลักสูตร","ความสามารถในการบริหารและการจัดการตามหลักธรรมาภิบาล",""))))))</f>
        <v/>
      </c>
      <c r="AH11" s="1444" t="str">
        <f>IF(AC9=0,"",IF(C13="รองคณบดีหรือรองผู้อำนวยการสำนัก",15,IF(C13="รองผู้อำนวยการหน่วยงานวิสาหกิจ/ผู้อำนวยการหน่วยงานวิสาหกิจระดับคณะ",20,IF(C13="ประธานหลักสูตร",5,IF(C13="เลขานุการหลักสูตร",5,IF(C13="กรรมการหลักสูตร",5,""))))))</f>
        <v/>
      </c>
      <c r="AI11" s="1443" t="str">
        <f>IF(AC9=0,"",IF(C13="รองคณบดีหรือรองผู้อำนวยการสำนัก","ประเมิน 3 ด้าน ได้แก่ 1) การป้องกัน  2) การแก้ไขปัญหา  3) การพัฒนางาน",IF(C13="รองผู้อำนวยการหน่วยงานวิสาหกิจ/ผู้อำนวยการหน่วยงานวิสาหกิจระดับคณะ","ประเมิน 3 ด้าน ได้แก่ 1) การป้องกัน  2) การแก้ไขปัญหา  3) การพัฒนางาน",IF(C13="ประธานหลักสูตร","คะแนนประเมินโดยคณบดีและตามเกณฑ์ที่คณะกำหนด",IF(C13="เลขานุการหลักสูตร","คะแนนประเมินโดยคณบดีและตามเกณฑ์ที่คณะกำหนด",IF(C13="กรรมการหลักสูตร","คะแนนประเมินโดยคณบดีและตามเกณฑ์ที่คณะกำหนด",""))))))</f>
        <v/>
      </c>
      <c r="AK11" s="1442" t="str">
        <f>C11</f>
        <v>อาจารย์</v>
      </c>
    </row>
    <row r="12" spans="1:37" ht="5.25" customHeight="1" x14ac:dyDescent="0.55000000000000004">
      <c r="A12" s="1579"/>
      <c r="B12" s="1579"/>
      <c r="C12" s="1972"/>
      <c r="D12" s="1972"/>
      <c r="E12" s="1972"/>
      <c r="F12" s="1972"/>
      <c r="G12" s="1637"/>
      <c r="H12" s="1637"/>
      <c r="I12" s="1580"/>
      <c r="J12" s="1972"/>
      <c r="K12" s="1972"/>
      <c r="L12" s="1972"/>
      <c r="M12" s="1972"/>
      <c r="N12" s="1972"/>
      <c r="O12" s="1972"/>
      <c r="P12" s="1972"/>
      <c r="Q12" s="1634"/>
      <c r="R12" s="2"/>
      <c r="S12" s="22"/>
      <c r="T12" s="1597"/>
      <c r="U12" s="1597"/>
      <c r="V12" s="1597"/>
      <c r="W12" s="1597"/>
      <c r="X12" s="1599"/>
      <c r="Y12" s="3"/>
      <c r="Z12" s="3"/>
      <c r="AA12" s="11"/>
      <c r="AB12" s="11"/>
      <c r="AC12" s="1519"/>
      <c r="AD12" s="1519"/>
      <c r="AE12" s="1519"/>
      <c r="AF12" s="1443"/>
      <c r="AG12" s="1443"/>
      <c r="AH12" s="1444"/>
      <c r="AI12" s="1443"/>
    </row>
    <row r="13" spans="1:37" ht="22.5" x14ac:dyDescent="0.55000000000000004">
      <c r="A13" s="1579"/>
      <c r="B13" s="1579" t="s">
        <v>38</v>
      </c>
      <c r="C13" s="2459" t="s">
        <v>39</v>
      </c>
      <c r="D13" s="2460"/>
      <c r="E13" s="2460"/>
      <c r="F13" s="2460"/>
      <c r="G13" s="2461"/>
      <c r="H13" s="1637"/>
      <c r="I13" s="1582" t="s">
        <v>420</v>
      </c>
      <c r="J13" s="2309"/>
      <c r="K13" s="2310"/>
      <c r="L13" s="2310"/>
      <c r="M13" s="2310"/>
      <c r="N13" s="2310"/>
      <c r="O13" s="2310"/>
      <c r="P13" s="2311"/>
      <c r="Q13" s="1634"/>
      <c r="R13" s="2"/>
      <c r="S13" s="22"/>
      <c r="T13" s="1597"/>
      <c r="U13" s="1601" t="s">
        <v>40</v>
      </c>
      <c r="V13" s="1597"/>
      <c r="W13" s="1601" t="s">
        <v>41</v>
      </c>
      <c r="X13" s="1599"/>
      <c r="Y13" s="3"/>
      <c r="Z13" s="3"/>
      <c r="AA13" s="11"/>
      <c r="AB13" s="11" t="s">
        <v>223</v>
      </c>
      <c r="AC13" s="1519">
        <f>VLOOKUP(C13,น้ำหนัก!A3:N13,8,FALSE)</f>
        <v>40</v>
      </c>
      <c r="AD13" s="1519"/>
      <c r="AE13" s="1519">
        <v>3</v>
      </c>
      <c r="AF13" s="1443" t="str">
        <f>IF(AC9=0,"",IF(C13="รองคณบดีหรือรองผู้อำนวยการสำนัก","1.3 การบริหารงานและการจัดการตามหลักธรรมาภิบาล",IF(C13="รองผู้อำนวยการหน่วยงานวิสาหกิจ/ผู้อำนวยการหน่วยงานวิสาหกิจระดับคณะ","1.3 การบริหารงานและการจัดการตามหลักธรรมาภิบาล",IF(C13="ประธานหลักสูตร","",IF(C13="เลขานุการหลักสูตร","",IF(C13="กรรมการหลักสูตร","",""))))))</f>
        <v/>
      </c>
      <c r="AG13" s="1443" t="str">
        <f>IF(AC9=0,"",IF(C13="รองคณบดีหรือรองผู้อำนวยการสำนัก","ความสามารถในการบริหารและการจัดการตามหลักธรรมาภิบาล",IF(C13="รองผู้อำนวยการหน่วยงานวิสาหกิจ/ผู้อำนวยการหน่วยงานวิสาหกิจระดับคณะ","ความสามารถในการบริหารและการจัดการตามหลักธรรมาภิบาล",IF(C13="ประธานหลักสูตร","",IF(C13="เลขานุการหลักสูตร","",IF(C13="กรรมการหลักสูตร","",""))))))</f>
        <v/>
      </c>
      <c r="AH13" s="1444" t="str">
        <f>IF(AC9=0,"",IF(C13="รองคณบดีหรือรองผู้อำนวยการสำนัก",5,IF(C13="รองผู้อำนวยการหน่วยงานวิสาหกิจ/ผู้อำนวยการหน่วยงานวิสาหกิจระดับคณะ",5,"")))</f>
        <v/>
      </c>
      <c r="AI13" s="1443" t="str">
        <f>IF(AC9=0,"",IF(C13="รองคณบดีหรือรองผู้อำนวยการสำนัก","คะแนนประเมินโดยคณบดี/ผู้อำนวยการสำนัก",IF(C13="รองผู้อำนวยการหน่วยงานวิสาหกิจ/ผู้อำนวยการหน่วยงานวิสาหกิจระดับคณะ","คะแนนประเมินโดยผอ.หน่วยงานวิสาหกิจ/คณบดีที่หน่วยงานวิสาหกิจสังกัด","")))</f>
        <v/>
      </c>
      <c r="AK13" s="1442" t="str">
        <f>J9</f>
        <v>ข้าราชการ</v>
      </c>
    </row>
    <row r="14" spans="1:37" ht="24.75" x14ac:dyDescent="0.6">
      <c r="A14" s="1582"/>
      <c r="B14" s="1582" t="s">
        <v>42</v>
      </c>
      <c r="C14" s="1953"/>
      <c r="D14" s="1633"/>
      <c r="E14" s="1633"/>
      <c r="F14" s="1633"/>
      <c r="G14" s="1633"/>
      <c r="H14" s="1633"/>
      <c r="I14" s="1582"/>
      <c r="J14" s="2308"/>
      <c r="K14" s="2308"/>
      <c r="L14" s="2308"/>
      <c r="M14" s="2308"/>
      <c r="N14" s="2308"/>
      <c r="O14" s="2308"/>
      <c r="P14" s="2308"/>
      <c r="Q14" s="1972"/>
      <c r="R14" s="2"/>
      <c r="S14" s="20"/>
      <c r="T14" s="20"/>
      <c r="U14" s="20"/>
      <c r="V14" s="20"/>
      <c r="W14" s="20"/>
      <c r="X14" s="20"/>
      <c r="Y14" s="3"/>
      <c r="Z14" s="3"/>
      <c r="AA14" s="11"/>
      <c r="AB14" s="11" t="s">
        <v>211</v>
      </c>
      <c r="AC14" s="1519">
        <f>VLOOKUP(C13,น้ำหนัก!A3:N13,7,FALSE)</f>
        <v>10</v>
      </c>
      <c r="AD14" s="1519"/>
      <c r="AE14" s="30" t="s">
        <v>226</v>
      </c>
      <c r="AF14" s="1422" t="s">
        <v>207</v>
      </c>
      <c r="AG14" s="1422" t="s">
        <v>208</v>
      </c>
      <c r="AK14" s="1445" t="str">
        <f>J15</f>
        <v>30 กันยายน 2564</v>
      </c>
    </row>
    <row r="15" spans="1:37" ht="22.5" x14ac:dyDescent="0.55000000000000004">
      <c r="A15" s="1582"/>
      <c r="B15" s="1582" t="s">
        <v>43</v>
      </c>
      <c r="C15" s="2309" t="s">
        <v>1194</v>
      </c>
      <c r="D15" s="2310"/>
      <c r="E15" s="2310"/>
      <c r="F15" s="2310"/>
      <c r="G15" s="2311"/>
      <c r="H15" s="1633"/>
      <c r="I15" s="1582" t="s">
        <v>44</v>
      </c>
      <c r="J15" s="2309" t="s">
        <v>1197</v>
      </c>
      <c r="K15" s="2310"/>
      <c r="L15" s="2310"/>
      <c r="M15" s="2310"/>
      <c r="N15" s="2310"/>
      <c r="O15" s="2310"/>
      <c r="P15" s="2311"/>
      <c r="Q15" s="1976"/>
      <c r="R15" s="2"/>
      <c r="S15" s="18"/>
      <c r="T15" s="19"/>
      <c r="U15" s="19"/>
      <c r="V15" s="19"/>
      <c r="W15" s="19"/>
      <c r="X15" s="19"/>
      <c r="Y15" s="3"/>
      <c r="Z15" s="3"/>
      <c r="AA15" s="3"/>
      <c r="AB15" s="11" t="s">
        <v>212</v>
      </c>
      <c r="AC15" s="31">
        <f>VLOOKUP(C13,น้ำหนัก!A3:N13,8,FALSE)</f>
        <v>40</v>
      </c>
      <c r="AD15" s="1519"/>
      <c r="AE15" s="2" t="s">
        <v>227</v>
      </c>
      <c r="AF15" s="1519">
        <f>VLOOKUP(C13,น้ำหนัก!A3:N13,6,FALSE)</f>
        <v>30</v>
      </c>
      <c r="AG15" s="1519">
        <f>AD11</f>
        <v>35</v>
      </c>
      <c r="AK15" s="1445">
        <f>J17</f>
        <v>0</v>
      </c>
    </row>
    <row r="16" spans="1:37" ht="5.25" customHeight="1" x14ac:dyDescent="0.55000000000000004">
      <c r="A16" s="1582"/>
      <c r="B16" s="1582"/>
      <c r="C16" s="1977"/>
      <c r="D16" s="1977"/>
      <c r="E16" s="1977"/>
      <c r="F16" s="1977"/>
      <c r="G16" s="1633"/>
      <c r="H16" s="1633"/>
      <c r="I16" s="1582"/>
      <c r="J16" s="1977"/>
      <c r="K16" s="1977"/>
      <c r="L16" s="1977"/>
      <c r="M16" s="1977"/>
      <c r="N16" s="1977"/>
      <c r="O16" s="1977"/>
      <c r="P16" s="1977"/>
      <c r="Q16" s="1976"/>
      <c r="R16" s="2"/>
      <c r="S16" s="18"/>
      <c r="T16" s="19"/>
      <c r="U16" s="19"/>
      <c r="V16" s="19"/>
      <c r="W16" s="19"/>
      <c r="X16" s="19"/>
      <c r="Y16" s="3"/>
      <c r="Z16" s="3"/>
      <c r="AA16" s="3"/>
      <c r="AB16" s="11"/>
      <c r="AC16" s="31"/>
      <c r="AD16" s="1519"/>
      <c r="AE16" s="2"/>
      <c r="AF16" s="1446"/>
      <c r="AG16" s="1446"/>
    </row>
    <row r="17" spans="1:44" ht="24.75" thickBot="1" x14ac:dyDescent="0.6">
      <c r="A17" s="1582"/>
      <c r="B17" s="1582" t="s">
        <v>45</v>
      </c>
      <c r="C17" s="2309"/>
      <c r="D17" s="2310"/>
      <c r="E17" s="2310"/>
      <c r="F17" s="2310"/>
      <c r="G17" s="2311"/>
      <c r="H17" s="1633"/>
      <c r="I17" s="1580" t="s">
        <v>46</v>
      </c>
      <c r="J17" s="2309"/>
      <c r="K17" s="2310"/>
      <c r="L17" s="2310"/>
      <c r="M17" s="2310"/>
      <c r="N17" s="2310"/>
      <c r="O17" s="2310"/>
      <c r="P17" s="2311"/>
      <c r="Q17" s="1976"/>
      <c r="R17" s="2"/>
      <c r="S17" s="1496"/>
      <c r="T17" s="1594" t="s">
        <v>1010</v>
      </c>
      <c r="U17" s="1595"/>
      <c r="V17" s="1595"/>
      <c r="W17" s="1595"/>
      <c r="X17" s="1596"/>
      <c r="Y17" s="3"/>
      <c r="Z17" s="3"/>
      <c r="AA17" s="3"/>
      <c r="AB17" s="11" t="s">
        <v>213</v>
      </c>
      <c r="AC17" s="31">
        <f>VLOOKUP(C13,น้ำหนัก!A3:N13,9,FALSE)</f>
        <v>0</v>
      </c>
      <c r="AD17" s="1519"/>
      <c r="AE17" s="2" t="s">
        <v>228</v>
      </c>
      <c r="AF17" s="1519">
        <f>VLOOKUP(C13,น้ำหนัก!A3:N13,7,FALSE)</f>
        <v>10</v>
      </c>
      <c r="AG17" s="1446"/>
      <c r="AK17" s="1442" t="str">
        <f>C13</f>
        <v>ไม่มี</v>
      </c>
    </row>
    <row r="18" spans="1:44" ht="23.25" thickBot="1" x14ac:dyDescent="0.6">
      <c r="A18" s="1973"/>
      <c r="B18" s="1620"/>
      <c r="C18" s="1972"/>
      <c r="D18" s="1972"/>
      <c r="E18" s="1633"/>
      <c r="F18" s="1633"/>
      <c r="G18" s="1633"/>
      <c r="H18" s="1633"/>
      <c r="I18" s="1953"/>
      <c r="J18" s="1953"/>
      <c r="K18" s="1953"/>
      <c r="L18" s="1953"/>
      <c r="M18" s="1953"/>
      <c r="N18" s="1953"/>
      <c r="O18" s="1953"/>
      <c r="P18" s="1972"/>
      <c r="Q18" s="1620"/>
      <c r="R18" s="2"/>
      <c r="S18" s="22"/>
      <c r="T18" s="1597" t="s">
        <v>1071</v>
      </c>
      <c r="U18" s="1597"/>
      <c r="V18" s="2020"/>
      <c r="W18" s="1614"/>
      <c r="X18" s="1599"/>
      <c r="Y18" s="2"/>
      <c r="Z18" s="2"/>
      <c r="AA18" s="5"/>
      <c r="AB18" s="5"/>
      <c r="AC18" s="2"/>
      <c r="AD18" s="2"/>
      <c r="AE18" s="2"/>
      <c r="AF18" s="2054"/>
    </row>
    <row r="19" spans="1:44" ht="22.5" x14ac:dyDescent="0.55000000000000004">
      <c r="A19" s="1585" t="s">
        <v>1</v>
      </c>
      <c r="B19" s="1584"/>
      <c r="C19" s="1585"/>
      <c r="D19" s="1586"/>
      <c r="E19" s="1586"/>
      <c r="F19" s="1586"/>
      <c r="G19" s="1586"/>
      <c r="H19" s="1586"/>
      <c r="I19" s="1586"/>
      <c r="J19" s="1586"/>
      <c r="K19" s="1586"/>
      <c r="L19" s="1586"/>
      <c r="M19" s="1586"/>
      <c r="N19" s="1586"/>
      <c r="O19" s="1586"/>
      <c r="P19" s="1584"/>
      <c r="Q19" s="1584"/>
      <c r="R19" s="2"/>
      <c r="S19" s="23"/>
      <c r="T19" s="1911" t="s">
        <v>1072</v>
      </c>
      <c r="U19" s="1497"/>
      <c r="V19" s="1497"/>
      <c r="W19" s="1497"/>
      <c r="X19" s="24"/>
      <c r="Y19" s="2"/>
      <c r="Z19" s="2"/>
      <c r="AA19" s="5"/>
      <c r="AB19" s="45" t="s">
        <v>232</v>
      </c>
      <c r="AC19" s="2"/>
      <c r="AD19" s="2"/>
      <c r="AE19" s="2"/>
      <c r="AQ19" s="1447"/>
      <c r="AR19" s="1447"/>
    </row>
    <row r="20" spans="1:44" ht="22.5" x14ac:dyDescent="0.55000000000000004">
      <c r="A20" s="1584"/>
      <c r="B20" s="1587" t="s">
        <v>47</v>
      </c>
      <c r="C20" s="1588"/>
      <c r="D20" s="1588"/>
      <c r="E20" s="1588"/>
      <c r="F20" s="1588"/>
      <c r="G20" s="1588"/>
      <c r="H20" s="1588"/>
      <c r="I20" s="1588"/>
      <c r="J20" s="1588"/>
      <c r="K20" s="1588"/>
      <c r="L20" s="1588"/>
      <c r="M20" s="1588"/>
      <c r="N20" s="1588"/>
      <c r="O20" s="1588"/>
      <c r="P20" s="1588"/>
      <c r="Q20" s="1584"/>
      <c r="R20" s="2"/>
      <c r="S20" s="2"/>
      <c r="T20" s="2"/>
      <c r="U20" s="2"/>
      <c r="V20" s="2"/>
      <c r="W20" s="2"/>
      <c r="X20" s="2"/>
      <c r="Y20" s="2"/>
      <c r="Z20" s="2"/>
      <c r="AA20" s="5"/>
      <c r="AB20" s="2502">
        <v>1.1000000000000001</v>
      </c>
      <c r="AC20" s="2502"/>
      <c r="AD20" s="2484">
        <v>1.2</v>
      </c>
      <c r="AE20" s="2485"/>
      <c r="AF20" s="2484">
        <v>1.3</v>
      </c>
      <c r="AG20" s="2485"/>
      <c r="AH20" s="1961">
        <v>1.4</v>
      </c>
      <c r="AI20" s="1961">
        <v>1.5</v>
      </c>
      <c r="AJ20" s="1961">
        <v>2.1</v>
      </c>
      <c r="AK20" s="2499">
        <v>2.2000000000000002</v>
      </c>
      <c r="AL20" s="2499"/>
      <c r="AM20" s="2499"/>
      <c r="AN20" s="2499"/>
      <c r="AO20" s="2499"/>
      <c r="AP20" s="1448">
        <v>3.1</v>
      </c>
      <c r="AQ20" s="2486">
        <v>3.2</v>
      </c>
      <c r="AR20" s="2486"/>
    </row>
    <row r="21" spans="1:44" ht="36.75" customHeight="1" x14ac:dyDescent="0.55000000000000004">
      <c r="A21" s="1584"/>
      <c r="B21" s="2433" t="s">
        <v>1080</v>
      </c>
      <c r="C21" s="2433"/>
      <c r="D21" s="2433"/>
      <c r="E21" s="2433"/>
      <c r="F21" s="2433"/>
      <c r="G21" s="2433"/>
      <c r="H21" s="2433"/>
      <c r="I21" s="2433"/>
      <c r="J21" s="2433"/>
      <c r="K21" s="2433"/>
      <c r="L21" s="2433"/>
      <c r="M21" s="2433"/>
      <c r="N21" s="2433"/>
      <c r="O21" s="2433"/>
      <c r="P21" s="2433"/>
      <c r="Q21" s="2433"/>
      <c r="R21" s="2"/>
      <c r="S21" s="2"/>
      <c r="T21" s="2"/>
      <c r="U21" s="2"/>
      <c r="V21" s="2"/>
      <c r="W21" s="2"/>
      <c r="X21" s="2"/>
      <c r="Y21" s="2"/>
      <c r="Z21" s="2"/>
      <c r="AA21" s="5"/>
      <c r="AB21" s="49" t="b">
        <v>0</v>
      </c>
      <c r="AC21" s="50" t="b">
        <v>0</v>
      </c>
      <c r="AD21" s="50" t="b">
        <v>0</v>
      </c>
      <c r="AE21" s="50" t="b">
        <v>0</v>
      </c>
      <c r="AF21" s="1449" t="b">
        <v>0</v>
      </c>
      <c r="AG21" s="1449" t="b">
        <v>0</v>
      </c>
      <c r="AH21" s="1449" t="b">
        <v>0</v>
      </c>
      <c r="AI21" s="1449" t="b">
        <v>0</v>
      </c>
      <c r="AJ21" s="1449" t="b">
        <v>0</v>
      </c>
      <c r="AK21" s="1959">
        <f>I62*1</f>
        <v>0</v>
      </c>
      <c r="AL21" s="1959">
        <f>I63*2</f>
        <v>0</v>
      </c>
      <c r="AM21" s="1959">
        <f>I64*3</f>
        <v>0</v>
      </c>
      <c r="AN21" s="1959">
        <f>I65*4</f>
        <v>0</v>
      </c>
      <c r="AO21" s="1959">
        <f>I66*5</f>
        <v>0</v>
      </c>
      <c r="AP21" s="1450" t="b">
        <v>0</v>
      </c>
      <c r="AQ21" s="1451" t="b">
        <v>0</v>
      </c>
      <c r="AR21" s="1451" t="b">
        <v>0</v>
      </c>
    </row>
    <row r="22" spans="1:44" ht="35.25" customHeight="1" x14ac:dyDescent="0.55000000000000004">
      <c r="A22" s="1584"/>
      <c r="B22" s="2433" t="s">
        <v>1081</v>
      </c>
      <c r="C22" s="2433"/>
      <c r="D22" s="2433"/>
      <c r="E22" s="2433"/>
      <c r="F22" s="2433"/>
      <c r="G22" s="2433"/>
      <c r="H22" s="2433"/>
      <c r="I22" s="2433"/>
      <c r="J22" s="2433"/>
      <c r="K22" s="2433"/>
      <c r="L22" s="2433"/>
      <c r="M22" s="2433"/>
      <c r="N22" s="2433"/>
      <c r="O22" s="2433"/>
      <c r="P22" s="2433"/>
      <c r="Q22" s="2433"/>
      <c r="R22" s="2"/>
      <c r="S22" s="2"/>
      <c r="T22" s="2"/>
      <c r="U22" s="2"/>
      <c r="V22" s="2"/>
      <c r="W22" s="2"/>
      <c r="X22" s="2"/>
      <c r="Y22" s="2"/>
      <c r="Z22" s="2"/>
      <c r="AA22" s="5"/>
      <c r="AB22" s="2493">
        <f>IF(AND(AB21=TRUE,AC21=TRUE),1,0)</f>
        <v>0</v>
      </c>
      <c r="AC22" s="2494"/>
      <c r="AD22" s="2495">
        <f>IF(AND(AB22&lt;&gt;0,OR(AD21=TRUE,AE21=TRUE)),3,0)</f>
        <v>0</v>
      </c>
      <c r="AE22" s="2496"/>
      <c r="AF22" s="2497">
        <f>IF(AND(AF21=TRUE,AG21=TRUE),1,0)</f>
        <v>0</v>
      </c>
      <c r="AG22" s="2498"/>
      <c r="AH22" s="1959">
        <f>IF(AND(AH21=TRUE,AB21=TRUE),3,0)</f>
        <v>0</v>
      </c>
      <c r="AI22" s="1959">
        <f>IF(AI21=TRUE,2,0)</f>
        <v>0</v>
      </c>
      <c r="AJ22" s="1959">
        <f>IF(AJ21=TRUE,5,0)</f>
        <v>0</v>
      </c>
      <c r="AK22" s="2497">
        <f>IF(SUM(AK21:AO21)&gt;5,5,SUM(AK21:AO21))</f>
        <v>0</v>
      </c>
      <c r="AL22" s="2500"/>
      <c r="AM22" s="2500"/>
      <c r="AN22" s="2500"/>
      <c r="AO22" s="2498"/>
      <c r="AP22" s="1960">
        <f>IF(AP21=TRUE,2.5,0)</f>
        <v>0</v>
      </c>
      <c r="AQ22" s="2487">
        <f>IF(OR(AQ21=TRUE,AR21=TRUE),2.5,0)</f>
        <v>0</v>
      </c>
      <c r="AR22" s="2487"/>
    </row>
    <row r="23" spans="1:44" s="1978" customFormat="1" ht="18" customHeight="1" x14ac:dyDescent="0.2">
      <c r="A23" s="1589"/>
      <c r="B23" s="2434" t="s">
        <v>1165</v>
      </c>
      <c r="C23" s="2434"/>
      <c r="D23" s="2434"/>
      <c r="E23" s="2434"/>
      <c r="F23" s="2434"/>
      <c r="G23" s="2434"/>
      <c r="H23" s="2434"/>
      <c r="I23" s="2434"/>
      <c r="J23" s="2434"/>
      <c r="K23" s="2434"/>
      <c r="L23" s="2434"/>
      <c r="M23" s="2434"/>
      <c r="N23" s="2434"/>
      <c r="O23" s="2434"/>
      <c r="P23" s="2434"/>
      <c r="Q23" s="1589"/>
      <c r="R23" s="10"/>
      <c r="S23" s="10"/>
      <c r="T23" s="10"/>
      <c r="U23" s="10"/>
      <c r="V23" s="10"/>
      <c r="W23" s="10"/>
      <c r="X23" s="10"/>
      <c r="Y23" s="10"/>
      <c r="Z23" s="10"/>
      <c r="AA23" s="12"/>
      <c r="AB23" s="12"/>
      <c r="AC23" s="10"/>
      <c r="AD23" s="10"/>
      <c r="AE23" s="10"/>
    </row>
    <row r="24" spans="1:44" s="1978" customFormat="1" ht="18.75" customHeight="1" x14ac:dyDescent="0.2">
      <c r="A24" s="1589"/>
      <c r="B24" s="1590" t="s">
        <v>48</v>
      </c>
      <c r="C24" s="1591"/>
      <c r="D24" s="1591"/>
      <c r="E24" s="1591"/>
      <c r="F24" s="1591"/>
      <c r="G24" s="1591"/>
      <c r="H24" s="1591"/>
      <c r="I24" s="1591"/>
      <c r="J24" s="1591"/>
      <c r="K24" s="1591"/>
      <c r="L24" s="1591"/>
      <c r="M24" s="1591"/>
      <c r="N24" s="1591"/>
      <c r="O24" s="1591"/>
      <c r="P24" s="1591"/>
      <c r="Q24" s="1589"/>
      <c r="R24" s="10"/>
      <c r="S24" s="10"/>
      <c r="T24" s="10"/>
      <c r="U24" s="10"/>
      <c r="V24" s="10"/>
      <c r="W24" s="10"/>
      <c r="X24" s="10"/>
      <c r="Y24" s="10"/>
      <c r="Z24" s="10"/>
      <c r="AA24" s="12"/>
      <c r="AB24" s="51" t="s">
        <v>218</v>
      </c>
      <c r="AC24" s="10"/>
      <c r="AD24" s="10"/>
      <c r="AE24" s="10"/>
    </row>
    <row r="25" spans="1:44" s="1978" customFormat="1" ht="22.5" x14ac:dyDescent="0.2">
      <c r="A25" s="1589"/>
      <c r="B25" s="1590" t="s">
        <v>49</v>
      </c>
      <c r="C25" s="1592"/>
      <c r="D25" s="1592"/>
      <c r="E25" s="1592"/>
      <c r="F25" s="1592"/>
      <c r="G25" s="1592"/>
      <c r="H25" s="1592"/>
      <c r="I25" s="1592"/>
      <c r="J25" s="1592"/>
      <c r="K25" s="1592"/>
      <c r="L25" s="1592"/>
      <c r="M25" s="1592"/>
      <c r="N25" s="1592"/>
      <c r="O25" s="1592"/>
      <c r="P25" s="1592"/>
      <c r="Q25" s="1589"/>
      <c r="R25" s="10"/>
      <c r="S25" s="10"/>
      <c r="T25" s="10"/>
      <c r="U25" s="10"/>
      <c r="V25" s="10"/>
      <c r="W25" s="10"/>
      <c r="X25" s="10"/>
      <c r="Y25" s="10"/>
      <c r="Z25" s="10"/>
      <c r="AA25" s="12"/>
      <c r="AB25" s="12" t="s">
        <v>120</v>
      </c>
      <c r="AC25" s="52">
        <f>VLOOKUP(C13,น้ำหนัก!A3:W13,15,FALSE)</f>
        <v>0</v>
      </c>
      <c r="AD25" s="10" t="s">
        <v>122</v>
      </c>
      <c r="AE25" s="10">
        <f>VLOOKUP(C13,น้ำหนัก!A3:W13,20,FALSE)</f>
        <v>0</v>
      </c>
    </row>
    <row r="26" spans="1:44" ht="13.5" customHeight="1" x14ac:dyDescent="0.55000000000000004">
      <c r="A26" s="1584"/>
      <c r="B26" s="1584"/>
      <c r="C26" s="1593"/>
      <c r="D26" s="1593"/>
      <c r="E26" s="1593"/>
      <c r="F26" s="1581"/>
      <c r="G26" s="1583"/>
      <c r="H26" s="1593"/>
      <c r="I26" s="1593"/>
      <c r="J26" s="1593"/>
      <c r="K26" s="1593"/>
      <c r="L26" s="1593"/>
      <c r="M26" s="1593"/>
      <c r="N26" s="1593"/>
      <c r="O26" s="1593"/>
      <c r="P26" s="1584"/>
      <c r="Q26" s="1584"/>
      <c r="R26" s="2"/>
      <c r="S26" s="2"/>
      <c r="T26" s="2"/>
      <c r="U26" s="2"/>
      <c r="V26" s="2"/>
      <c r="W26" s="2"/>
      <c r="X26" s="2"/>
      <c r="Y26" s="2"/>
      <c r="Z26" s="2"/>
      <c r="AA26" s="5"/>
      <c r="AC26" s="1519"/>
      <c r="AD26" s="2" t="s">
        <v>126</v>
      </c>
      <c r="AE26" s="2"/>
    </row>
    <row r="27" spans="1:44" ht="24" x14ac:dyDescent="0.55000000000000004">
      <c r="A27" s="1602" t="s">
        <v>50</v>
      </c>
      <c r="B27" s="1578"/>
      <c r="C27" s="1603"/>
      <c r="D27" s="1603"/>
      <c r="E27" s="1603"/>
      <c r="F27" s="1603"/>
      <c r="G27" s="1603"/>
      <c r="H27" s="1603"/>
      <c r="I27" s="1603"/>
      <c r="J27" s="1603"/>
      <c r="K27" s="1603"/>
      <c r="L27" s="1603"/>
      <c r="M27" s="1604"/>
      <c r="N27" s="1604"/>
      <c r="O27" s="1604"/>
      <c r="P27" s="1578"/>
      <c r="Q27" s="1578"/>
      <c r="R27" s="1521"/>
      <c r="S27" s="1521"/>
      <c r="T27" s="1521"/>
      <c r="U27" s="1521"/>
      <c r="V27" s="1521"/>
      <c r="W27" s="1521"/>
      <c r="X27" s="1521"/>
      <c r="Y27" s="1521"/>
      <c r="Z27" s="1521"/>
      <c r="AA27" s="1521"/>
      <c r="AB27" s="5" t="s">
        <v>124</v>
      </c>
      <c r="AC27" s="1520">
        <f>VLOOKUP(C13,น้ำหนัก!A3:W13,16,FALSE)</f>
        <v>0</v>
      </c>
      <c r="AD27" s="2" t="s">
        <v>126</v>
      </c>
      <c r="AE27" s="2">
        <f>VLOOKUP(C13,น้ำหนัก!A3:W13,21,FALSE)</f>
        <v>0</v>
      </c>
    </row>
    <row r="28" spans="1:44" ht="22.5" x14ac:dyDescent="0.55000000000000004">
      <c r="A28" s="2449" t="str">
        <f>IF(AC9=0,"ไม่มีภาระงานบริหาร (ร้อยละ 0)","1. ภาระงานบริหาร  (จำนวน "&amp;AD9&amp;" ชั่วโมงทำการ/สัปดาห์ คิดเป็นร้อยละ "&amp;AC9&amp;")")</f>
        <v>ไม่มีภาระงานบริหาร (ร้อยละ 0)</v>
      </c>
      <c r="B28" s="2450"/>
      <c r="C28" s="2450"/>
      <c r="D28" s="2450"/>
      <c r="E28" s="2450"/>
      <c r="F28" s="2450"/>
      <c r="G28" s="2450"/>
      <c r="H28" s="2450"/>
      <c r="I28" s="2450"/>
      <c r="J28" s="2450"/>
      <c r="K28" s="2450"/>
      <c r="L28" s="2450"/>
      <c r="M28" s="2450"/>
      <c r="N28" s="2450"/>
      <c r="O28" s="2450"/>
      <c r="P28" s="2450"/>
      <c r="Q28" s="2451"/>
      <c r="R28" s="2"/>
      <c r="S28" s="2265" t="s">
        <v>51</v>
      </c>
      <c r="T28" s="2266"/>
      <c r="U28" s="2266"/>
      <c r="V28" s="2266"/>
      <c r="W28" s="2266"/>
      <c r="X28" s="2266"/>
      <c r="Y28" s="2266"/>
      <c r="Z28" s="2267"/>
      <c r="AA28" s="5"/>
      <c r="AB28" s="1521" t="s">
        <v>127</v>
      </c>
      <c r="AC28" s="1519">
        <f>VLOOKUP(C13,น้ำหนัก!A3:W13,17,FALSE)</f>
        <v>0</v>
      </c>
      <c r="AD28" s="1521" t="s">
        <v>129</v>
      </c>
      <c r="AE28" s="1521">
        <f>VLOOKUP(C13,น้ำหนัก!A3:W13,22,FALSE)</f>
        <v>0</v>
      </c>
    </row>
    <row r="29" spans="1:44" ht="22.5" x14ac:dyDescent="0.55000000000000004">
      <c r="A29" s="2435" t="s">
        <v>52</v>
      </c>
      <c r="B29" s="2436"/>
      <c r="C29" s="2437"/>
      <c r="D29" s="2366" t="s">
        <v>53</v>
      </c>
      <c r="E29" s="2367"/>
      <c r="F29" s="2367"/>
      <c r="G29" s="2367"/>
      <c r="H29" s="2368"/>
      <c r="I29" s="2346" t="s">
        <v>54</v>
      </c>
      <c r="J29" s="2348"/>
      <c r="K29" s="2348" t="s">
        <v>55</v>
      </c>
      <c r="L29" s="2346" t="s">
        <v>56</v>
      </c>
      <c r="M29" s="2347"/>
      <c r="N29" s="2347"/>
      <c r="O29" s="2347"/>
      <c r="P29" s="2347"/>
      <c r="Q29" s="2348"/>
      <c r="R29" s="6"/>
      <c r="S29" s="1979"/>
      <c r="T29" s="1968" t="s">
        <v>57</v>
      </c>
      <c r="U29" s="1980"/>
      <c r="V29" s="1980"/>
      <c r="W29" s="1980"/>
      <c r="X29" s="1980"/>
      <c r="Y29" s="1980"/>
      <c r="Z29" s="1981"/>
      <c r="AA29" s="13"/>
      <c r="AB29" s="5" t="s">
        <v>130</v>
      </c>
      <c r="AC29" s="53">
        <f>VLOOKUP(C13,น้ำหนัก!A3:W13,18,FALSE)</f>
        <v>0</v>
      </c>
      <c r="AD29" s="2" t="s">
        <v>132</v>
      </c>
      <c r="AE29" s="2">
        <f>VLOOKUP(C13,น้ำหนัก!A3:W13,23,FALSE)</f>
        <v>0</v>
      </c>
    </row>
    <row r="30" spans="1:44" ht="22.5" customHeight="1" thickBot="1" x14ac:dyDescent="0.5">
      <c r="A30" s="2438"/>
      <c r="B30" s="2439"/>
      <c r="C30" s="2440"/>
      <c r="D30" s="2503"/>
      <c r="E30" s="2504"/>
      <c r="F30" s="2504"/>
      <c r="G30" s="2504"/>
      <c r="H30" s="2505"/>
      <c r="I30" s="2375"/>
      <c r="J30" s="2376"/>
      <c r="K30" s="2376"/>
      <c r="L30" s="2153">
        <v>1</v>
      </c>
      <c r="M30" s="2153">
        <v>2</v>
      </c>
      <c r="N30" s="2153">
        <v>3</v>
      </c>
      <c r="O30" s="2153">
        <v>4</v>
      </c>
      <c r="P30" s="2452">
        <v>5</v>
      </c>
      <c r="Q30" s="2452"/>
      <c r="R30" s="6"/>
      <c r="S30" s="1982"/>
      <c r="T30" s="2357" t="s">
        <v>58</v>
      </c>
      <c r="U30" s="2357"/>
      <c r="V30" s="2357"/>
      <c r="W30" s="2357"/>
      <c r="X30" s="2357"/>
      <c r="Y30" s="2357"/>
      <c r="Z30" s="1971"/>
      <c r="AA30" s="13"/>
      <c r="AB30" s="13" t="s">
        <v>134</v>
      </c>
      <c r="AC30" s="53">
        <f>VLOOKUP(C13,น้ำหนัก!A3:W13,19,FALSE)</f>
        <v>0</v>
      </c>
      <c r="AD30" s="6"/>
      <c r="AE30" s="6"/>
    </row>
    <row r="31" spans="1:44" ht="54" customHeight="1" thickBot="1" x14ac:dyDescent="0.6">
      <c r="A31" s="2462" t="str">
        <f>IF(AF9&lt;&gt;"",AF9,"")</f>
        <v/>
      </c>
      <c r="B31" s="2462"/>
      <c r="C31" s="2462"/>
      <c r="D31" s="2462" t="str">
        <f>IF(AG9&lt;&gt;"",AG9,"")</f>
        <v/>
      </c>
      <c r="E31" s="2462"/>
      <c r="F31" s="2462"/>
      <c r="G31" s="2462"/>
      <c r="H31" s="2217"/>
      <c r="I31" s="2222"/>
      <c r="J31" s="2223"/>
      <c r="K31" s="2196" t="str">
        <f>IF(AH9&lt;&gt;"",AH9,"")</f>
        <v/>
      </c>
      <c r="L31" s="2224" t="str">
        <f>IF(AI9&lt;&gt;"",AI9,"")</f>
        <v/>
      </c>
      <c r="M31" s="2225"/>
      <c r="N31" s="2225"/>
      <c r="O31" s="2225"/>
      <c r="P31" s="2225"/>
      <c r="Q31" s="2226"/>
      <c r="R31" s="2"/>
      <c r="S31" s="1982"/>
      <c r="T31" s="2357"/>
      <c r="U31" s="2357"/>
      <c r="V31" s="2357"/>
      <c r="W31" s="2357"/>
      <c r="X31" s="2357"/>
      <c r="Y31" s="2357"/>
      <c r="Z31" s="1971"/>
      <c r="AA31" s="11"/>
      <c r="AB31" s="29" t="s">
        <v>21</v>
      </c>
      <c r="AC31" s="11"/>
      <c r="AD31" s="2"/>
      <c r="AE31" s="2"/>
    </row>
    <row r="32" spans="1:44" ht="54" customHeight="1" thickBot="1" x14ac:dyDescent="0.6">
      <c r="A32" s="2217" t="str">
        <f>IF(AF11&lt;&gt;"",AF11,"")</f>
        <v/>
      </c>
      <c r="B32" s="2218"/>
      <c r="C32" s="2219"/>
      <c r="D32" s="2462" t="str">
        <f>IF(AG11&lt;&gt;"",AG11,"")</f>
        <v/>
      </c>
      <c r="E32" s="2462"/>
      <c r="F32" s="2462"/>
      <c r="G32" s="2462"/>
      <c r="H32" s="2217"/>
      <c r="I32" s="2220"/>
      <c r="J32" s="2221"/>
      <c r="K32" s="2197" t="str">
        <f>IF(AH11&lt;&gt;"",AH11,"")</f>
        <v/>
      </c>
      <c r="L32" s="2224" t="str">
        <f>IF(AI11&lt;&gt;"",AI11,"")</f>
        <v/>
      </c>
      <c r="M32" s="2225"/>
      <c r="N32" s="2225"/>
      <c r="O32" s="2225"/>
      <c r="P32" s="2225"/>
      <c r="Q32" s="2226"/>
      <c r="R32" s="2"/>
      <c r="S32" s="1983"/>
      <c r="T32" s="1984"/>
      <c r="U32" s="1984"/>
      <c r="V32" s="1984"/>
      <c r="W32" s="1984"/>
      <c r="X32" s="1984"/>
      <c r="Y32" s="1984"/>
      <c r="Z32" s="1985"/>
      <c r="AA32" s="11"/>
      <c r="AB32" s="1607" t="s">
        <v>1065</v>
      </c>
      <c r="AC32" s="11"/>
      <c r="AD32" s="2"/>
      <c r="AE32" s="2"/>
    </row>
    <row r="33" spans="1:34" ht="38.25" customHeight="1" thickBot="1" x14ac:dyDescent="0.6">
      <c r="A33" s="2217" t="str">
        <f>IF(AF13&lt;&gt;"",AF13,"")</f>
        <v/>
      </c>
      <c r="B33" s="2218"/>
      <c r="C33" s="2219"/>
      <c r="D33" s="2217" t="str">
        <f>IF(AG13&lt;&gt;"",AG13,"")</f>
        <v/>
      </c>
      <c r="E33" s="2218"/>
      <c r="F33" s="2218"/>
      <c r="G33" s="2218"/>
      <c r="H33" s="2218"/>
      <c r="I33" s="2220"/>
      <c r="J33" s="2221"/>
      <c r="K33" s="2196" t="str">
        <f>IF(AH13&lt;&gt;"",AH13,"")</f>
        <v/>
      </c>
      <c r="L33" s="2224" t="str">
        <f>IF(AI13&lt;&gt;"",AI13,"")</f>
        <v/>
      </c>
      <c r="M33" s="2225"/>
      <c r="N33" s="2225"/>
      <c r="O33" s="2225"/>
      <c r="P33" s="2225"/>
      <c r="Q33" s="2226"/>
      <c r="R33" s="2"/>
      <c r="S33" s="2003"/>
      <c r="T33" s="2156"/>
      <c r="U33" s="2156"/>
      <c r="V33" s="2156"/>
      <c r="W33" s="2156"/>
      <c r="X33" s="2156"/>
      <c r="Y33" s="2156"/>
      <c r="Z33" s="2003"/>
      <c r="AA33" s="11"/>
      <c r="AB33" s="11" t="s">
        <v>1062</v>
      </c>
      <c r="AC33" s="11"/>
    </row>
    <row r="34" spans="1:34" ht="22.5" x14ac:dyDescent="0.55000000000000004">
      <c r="A34" s="2154"/>
      <c r="B34" s="2501"/>
      <c r="C34" s="2501"/>
      <c r="D34" s="2488" t="s">
        <v>59</v>
      </c>
      <c r="E34" s="2488"/>
      <c r="F34" s="2488"/>
      <c r="G34" s="2488"/>
      <c r="H34" s="2488"/>
      <c r="I34" s="2488"/>
      <c r="J34" s="2489"/>
      <c r="K34" s="2155" t="str">
        <f>IF(K31&lt;&gt;"",SUM(K31:K33),"")</f>
        <v/>
      </c>
      <c r="L34" s="2426"/>
      <c r="M34" s="2427"/>
      <c r="N34" s="2427"/>
      <c r="O34" s="2427"/>
      <c r="P34" s="2427"/>
      <c r="Q34" s="2428"/>
      <c r="R34" s="2"/>
      <c r="S34" s="11"/>
      <c r="T34" s="1986"/>
      <c r="U34" s="1986"/>
      <c r="V34" s="1986"/>
      <c r="W34" s="1986"/>
      <c r="X34" s="1986"/>
      <c r="Y34" s="1986"/>
      <c r="Z34" s="11"/>
      <c r="AA34" s="11"/>
      <c r="AB34" s="1608">
        <v>1</v>
      </c>
      <c r="AC34" s="1609">
        <v>2</v>
      </c>
      <c r="AD34" s="1987">
        <v>3</v>
      </c>
      <c r="AE34" s="1608">
        <v>4</v>
      </c>
      <c r="AF34" s="1608">
        <v>5</v>
      </c>
    </row>
    <row r="35" spans="1:34" ht="22.5" x14ac:dyDescent="0.55000000000000004">
      <c r="A35" s="2490" t="str">
        <f>"2. ภาระงานตามพันธกิจ   (ร้อยละ "&amp;AC11&amp;")"</f>
        <v>2. ภาระงานตามพันธกิจ   (ร้อยละ 40)</v>
      </c>
      <c r="B35" s="2491"/>
      <c r="C35" s="2491"/>
      <c r="D35" s="2491"/>
      <c r="E35" s="2491"/>
      <c r="F35" s="2491"/>
      <c r="G35" s="2491"/>
      <c r="H35" s="2491"/>
      <c r="I35" s="2491"/>
      <c r="J35" s="2491"/>
      <c r="K35" s="2491"/>
      <c r="L35" s="2491"/>
      <c r="M35" s="2491"/>
      <c r="N35" s="2491"/>
      <c r="O35" s="2491"/>
      <c r="P35" s="2491"/>
      <c r="Q35" s="2492"/>
      <c r="R35" s="2"/>
      <c r="S35" s="2"/>
      <c r="T35" s="2"/>
      <c r="U35" s="2"/>
      <c r="V35" s="2"/>
      <c r="W35" s="2"/>
      <c r="X35" s="2"/>
      <c r="Y35" s="2"/>
      <c r="Z35" s="2"/>
      <c r="AA35" s="5"/>
      <c r="AB35" s="5" t="s">
        <v>1066</v>
      </c>
      <c r="AC35" s="2" t="s">
        <v>1067</v>
      </c>
      <c r="AD35" s="1442" t="s">
        <v>1068</v>
      </c>
      <c r="AE35" s="5" t="s">
        <v>1069</v>
      </c>
      <c r="AF35" s="1988" t="s">
        <v>1070</v>
      </c>
    </row>
    <row r="36" spans="1:34" ht="22.5" x14ac:dyDescent="0.55000000000000004">
      <c r="A36" s="1888" t="s">
        <v>60</v>
      </c>
      <c r="B36" s="2474" t="str">
        <f>"ภาระงานเชิงปริมาณ (จำนวน "&amp;AG15&amp;" ชั่วโมงทำการ/สัปดาห์ คิดเป็นร้อยละ "&amp;AF15&amp;")"</f>
        <v>ภาระงานเชิงปริมาณ (จำนวน 35 ชั่วโมงทำการ/สัปดาห์ คิดเป็นร้อยละ 30)</v>
      </c>
      <c r="C36" s="2474"/>
      <c r="D36" s="2474"/>
      <c r="E36" s="2474"/>
      <c r="F36" s="2474"/>
      <c r="G36" s="2474"/>
      <c r="H36" s="2474"/>
      <c r="I36" s="2474"/>
      <c r="J36" s="2474"/>
      <c r="K36" s="2474"/>
      <c r="L36" s="2474"/>
      <c r="M36" s="2474"/>
      <c r="N36" s="2474"/>
      <c r="O36" s="2474"/>
      <c r="P36" s="2474"/>
      <c r="Q36" s="2475"/>
      <c r="R36" s="2"/>
      <c r="S36" s="2"/>
      <c r="T36" s="2"/>
      <c r="U36" s="2"/>
      <c r="V36" s="2"/>
      <c r="W36" s="2"/>
      <c r="X36" s="2"/>
      <c r="Y36" s="2"/>
      <c r="Z36" s="2"/>
      <c r="AA36" s="5"/>
      <c r="AB36" s="15" t="s">
        <v>1063</v>
      </c>
      <c r="AC36" s="6" t="s">
        <v>1064</v>
      </c>
      <c r="AD36" s="1442" t="s">
        <v>1064</v>
      </c>
      <c r="AE36" s="13" t="s">
        <v>1064</v>
      </c>
      <c r="AF36" s="13" t="s">
        <v>1064</v>
      </c>
    </row>
    <row r="37" spans="1:34" ht="27.75" customHeight="1" x14ac:dyDescent="0.45">
      <c r="A37" s="2435" t="s">
        <v>52</v>
      </c>
      <c r="B37" s="2436"/>
      <c r="C37" s="2437"/>
      <c r="D37" s="2366" t="s">
        <v>53</v>
      </c>
      <c r="E37" s="2367"/>
      <c r="F37" s="2367"/>
      <c r="G37" s="2367"/>
      <c r="H37" s="2368"/>
      <c r="I37" s="2441" t="str">
        <f>"(ค) ค่าเป้าหมาย
("&amp;AD11&amp;" ชม.ทำการ/
สัปดาห์"&amp;")"</f>
        <v>(ค) ค่าเป้าหมาย
(35 ชม.ทำการ/
สัปดาห์)</v>
      </c>
      <c r="J37" s="2442"/>
      <c r="K37" s="2442" t="str">
        <f>"(ง) น้ำหนัก 
(ร้อยละ "&amp;AF15&amp;")"</f>
        <v>(ง) น้ำหนัก 
(ร้อยละ 30)</v>
      </c>
      <c r="L37" s="2349" t="s">
        <v>56</v>
      </c>
      <c r="M37" s="2350"/>
      <c r="N37" s="2350"/>
      <c r="O37" s="2350"/>
      <c r="P37" s="2350"/>
      <c r="Q37" s="2351"/>
      <c r="R37" s="6"/>
      <c r="S37" s="2265" t="s">
        <v>61</v>
      </c>
      <c r="T37" s="2266"/>
      <c r="U37" s="2266"/>
      <c r="V37" s="2266"/>
      <c r="W37" s="2266"/>
      <c r="X37" s="2266"/>
      <c r="Y37" s="2266"/>
      <c r="Z37" s="2267"/>
      <c r="AA37" s="15"/>
    </row>
    <row r="38" spans="1:34" ht="25.5" customHeight="1" thickBot="1" x14ac:dyDescent="0.5">
      <c r="A38" s="2438"/>
      <c r="B38" s="2439"/>
      <c r="C38" s="2440"/>
      <c r="D38" s="2369"/>
      <c r="E38" s="2370"/>
      <c r="F38" s="2370"/>
      <c r="G38" s="2370"/>
      <c r="H38" s="2371"/>
      <c r="I38" s="2443"/>
      <c r="J38" s="2444"/>
      <c r="K38" s="2445"/>
      <c r="L38" s="1956">
        <v>0</v>
      </c>
      <c r="M38" s="1956">
        <v>1</v>
      </c>
      <c r="N38" s="1956">
        <v>2</v>
      </c>
      <c r="O38" s="1956">
        <v>3</v>
      </c>
      <c r="P38" s="1956">
        <v>4</v>
      </c>
      <c r="Q38" s="1889">
        <v>5</v>
      </c>
      <c r="R38" s="6"/>
      <c r="S38" s="1979"/>
      <c r="T38" s="1968" t="s">
        <v>62</v>
      </c>
      <c r="U38" s="1980"/>
      <c r="V38" s="1980"/>
      <c r="W38" s="1980"/>
      <c r="X38" s="1980"/>
      <c r="Y38" s="1980"/>
      <c r="Z38" s="1981"/>
      <c r="AA38" s="13"/>
      <c r="AB38" s="2211">
        <v>3.1</v>
      </c>
      <c r="AC38" s="2212"/>
      <c r="AD38" s="2213"/>
      <c r="AE38" s="2157">
        <v>3.2</v>
      </c>
      <c r="AF38" s="2214">
        <v>3.3</v>
      </c>
      <c r="AG38" s="2215"/>
      <c r="AH38" s="2216"/>
    </row>
    <row r="39" spans="1:34" ht="23.25" thickBot="1" x14ac:dyDescent="0.6">
      <c r="A39" s="2021" t="s">
        <v>63</v>
      </c>
      <c r="B39" s="2431" t="s">
        <v>64</v>
      </c>
      <c r="C39" s="2469"/>
      <c r="D39" s="2430" t="s">
        <v>65</v>
      </c>
      <c r="E39" s="2431"/>
      <c r="F39" s="2431"/>
      <c r="G39" s="2431"/>
      <c r="H39" s="2431"/>
      <c r="I39" s="2481"/>
      <c r="J39" s="2482"/>
      <c r="K39" s="1613">
        <f>IF(AC11&lt;&gt;0,(I39/AD11*100)*AF15/100,0)</f>
        <v>0</v>
      </c>
      <c r="L39" s="1610">
        <v>0</v>
      </c>
      <c r="M39" s="1610"/>
      <c r="N39" s="1610"/>
      <c r="O39" s="1610"/>
      <c r="P39" s="1610"/>
      <c r="Q39" s="1611" t="str">
        <f>IF(K39=0,"","&gt;="&amp;I39)</f>
        <v/>
      </c>
      <c r="R39" s="2"/>
      <c r="S39" s="1982"/>
      <c r="T39" s="2357" t="s">
        <v>1073</v>
      </c>
      <c r="U39" s="2357"/>
      <c r="V39" s="2357"/>
      <c r="W39" s="2357"/>
      <c r="X39" s="2357"/>
      <c r="Y39" s="2357"/>
      <c r="Z39" s="1971"/>
      <c r="AA39" s="11"/>
      <c r="AB39" s="2158" t="s">
        <v>420</v>
      </c>
      <c r="AC39" s="2159" t="s">
        <v>1190</v>
      </c>
      <c r="AD39" s="2157" t="s">
        <v>283</v>
      </c>
      <c r="AE39" s="2157" t="s">
        <v>1191</v>
      </c>
      <c r="AF39" s="2157" t="s">
        <v>420</v>
      </c>
      <c r="AG39" s="2157" t="s">
        <v>1190</v>
      </c>
      <c r="AH39" s="2157" t="s">
        <v>283</v>
      </c>
    </row>
    <row r="40" spans="1:34" ht="23.25" thickBot="1" x14ac:dyDescent="0.6">
      <c r="A40" s="2021" t="s">
        <v>66</v>
      </c>
      <c r="B40" s="2470" t="s">
        <v>67</v>
      </c>
      <c r="C40" s="2471"/>
      <c r="D40" s="2430" t="s">
        <v>65</v>
      </c>
      <c r="E40" s="2431"/>
      <c r="F40" s="2431"/>
      <c r="G40" s="2431"/>
      <c r="H40" s="2431"/>
      <c r="I40" s="2481"/>
      <c r="J40" s="2482"/>
      <c r="K40" s="1613">
        <f>IF(AC11&lt;&gt;0,(I40/AD11*100)*AF15/100,0)</f>
        <v>0</v>
      </c>
      <c r="L40" s="1612">
        <v>0</v>
      </c>
      <c r="M40" s="1612"/>
      <c r="N40" s="1612"/>
      <c r="O40" s="1612"/>
      <c r="P40" s="1612"/>
      <c r="Q40" s="1611" t="str">
        <f>IF(K40=0,"","&gt;="&amp;I40)</f>
        <v/>
      </c>
      <c r="R40" s="2"/>
      <c r="S40" s="1982"/>
      <c r="T40" s="2357" t="s">
        <v>1074</v>
      </c>
      <c r="U40" s="2357"/>
      <c r="V40" s="2357"/>
      <c r="W40" s="2357"/>
      <c r="X40" s="2357"/>
      <c r="Y40" s="2357"/>
      <c r="Z40" s="2483"/>
      <c r="AA40" s="11"/>
      <c r="AB40" s="2158">
        <f>IF(C13="ไม่มี",10,IF(C13="กรรมการหลักสูตร",10,IF(C13="เลขานุการหลักสูตร",5,IF(C13="ประธานหลักสูตร",5,0))))</f>
        <v>10</v>
      </c>
      <c r="AC40" s="2159">
        <f>IF(C13="ไม่มี",15,IF(C13="กรรมการหลักสูตร",10,IF(C13="เลขานุการหลักสูตร",5,IF(C13="ประธานหลักสูตร",0,0))))</f>
        <v>15</v>
      </c>
      <c r="AD40" s="2157">
        <f>AB40+AC40</f>
        <v>25</v>
      </c>
      <c r="AE40" s="2157">
        <f>IF(C13="ไม่มี",5,IF(C13="กรรมการหลักสูตร",5,IF(C13="เลขานุการหลักสูตร",5,IF(C13="ประธานหลักสูตร",5,0))))</f>
        <v>5</v>
      </c>
      <c r="AF40" s="2157">
        <f>IF(C13="ไม่มี",5,IF(C13="กรรมการหลักสูตร",3,IF(C13="เลขานุการหลักสูตร",3,IF(C13="ประธานหลักสูตร",0,0))))</f>
        <v>5</v>
      </c>
      <c r="AG40" s="2157">
        <f>IF(C13="ไม่มี",5,IF(C13="กรรมการหลักสูตร",2,IF(C13="เลขานุการหลักสูตร",2,IF(C13="ประธานหลักสูตร",0,0))))</f>
        <v>5</v>
      </c>
      <c r="AH40" s="2157">
        <f>SUM(AF40:AG40)</f>
        <v>10</v>
      </c>
    </row>
    <row r="41" spans="1:34" ht="23.25" thickBot="1" x14ac:dyDescent="0.6">
      <c r="A41" s="2021" t="s">
        <v>68</v>
      </c>
      <c r="B41" s="2470" t="s">
        <v>69</v>
      </c>
      <c r="C41" s="2471"/>
      <c r="D41" s="2430" t="s">
        <v>65</v>
      </c>
      <c r="E41" s="2431"/>
      <c r="F41" s="2431"/>
      <c r="G41" s="2431"/>
      <c r="H41" s="2431"/>
      <c r="I41" s="2481"/>
      <c r="J41" s="2482"/>
      <c r="K41" s="1613">
        <f>IF(AC11&lt;&gt;0,(I41/AD11*100)*AF15/100,0)</f>
        <v>0</v>
      </c>
      <c r="L41" s="1612">
        <v>0</v>
      </c>
      <c r="M41" s="1612"/>
      <c r="N41" s="1612"/>
      <c r="O41" s="1612"/>
      <c r="P41" s="1612"/>
      <c r="Q41" s="1611" t="str">
        <f>IF(K41=0,"","&gt;="&amp;I41)</f>
        <v/>
      </c>
      <c r="R41" s="2"/>
      <c r="S41" s="1982"/>
      <c r="T41" s="2357" t="s">
        <v>1075</v>
      </c>
      <c r="U41" s="2357"/>
      <c r="V41" s="2357"/>
      <c r="W41" s="2357"/>
      <c r="X41" s="2357"/>
      <c r="Y41" s="2357"/>
      <c r="Z41" s="1971"/>
      <c r="AA41" s="11"/>
      <c r="AB41" s="11"/>
      <c r="AC41" s="2"/>
    </row>
    <row r="42" spans="1:34" ht="23.25" thickBot="1" x14ac:dyDescent="0.6">
      <c r="A42" s="2021" t="s">
        <v>70</v>
      </c>
      <c r="B42" s="2470" t="s">
        <v>71</v>
      </c>
      <c r="C42" s="2471"/>
      <c r="D42" s="2430" t="s">
        <v>65</v>
      </c>
      <c r="E42" s="2431"/>
      <c r="F42" s="2431"/>
      <c r="G42" s="2431"/>
      <c r="H42" s="2431"/>
      <c r="I42" s="2476"/>
      <c r="J42" s="2477"/>
      <c r="K42" s="1613">
        <f>IF(AC11&lt;&gt;0,(I42/AD11*100)*AF15/100,0)</f>
        <v>0</v>
      </c>
      <c r="L42" s="1612">
        <v>0</v>
      </c>
      <c r="M42" s="1612"/>
      <c r="N42" s="1612"/>
      <c r="O42" s="1612"/>
      <c r="P42" s="1612"/>
      <c r="Q42" s="1611" t="str">
        <f>IF(K42=0,"","&gt;="&amp;I42)</f>
        <v/>
      </c>
      <c r="R42" s="2"/>
      <c r="S42" s="1989"/>
      <c r="T42" s="1990" t="str">
        <f>"   ต้องรวมกันเท่ากับ "&amp;AD11&amp;" ชั่วโมงทำการ/สัปดาห์"</f>
        <v xml:space="preserve">   ต้องรวมกันเท่ากับ 35 ชั่วโมงทำการ/สัปดาห์</v>
      </c>
      <c r="U42" s="1970"/>
      <c r="V42" s="1970"/>
      <c r="W42" s="1970"/>
      <c r="X42" s="1970"/>
      <c r="Y42" s="1970"/>
      <c r="Z42" s="1971"/>
      <c r="AA42" s="11"/>
      <c r="AB42" s="11"/>
      <c r="AC42" s="2"/>
    </row>
    <row r="43" spans="1:34" ht="22.5" x14ac:dyDescent="0.55000000000000004">
      <c r="A43" s="2022"/>
      <c r="B43" s="1890"/>
      <c r="C43" s="1891"/>
      <c r="D43" s="1891"/>
      <c r="E43" s="1891"/>
      <c r="F43" s="1891"/>
      <c r="G43" s="1891"/>
      <c r="H43" s="1892" t="s">
        <v>72</v>
      </c>
      <c r="I43" s="2472">
        <f>SUM(I39:J42)</f>
        <v>0</v>
      </c>
      <c r="J43" s="2473"/>
      <c r="K43" s="1630">
        <f>SUM(K39:K42)</f>
        <v>0</v>
      </c>
      <c r="L43" s="2478" t="str">
        <f>IF(I43=AD11,"ภาระงานตามพันธกิจ(เชิงปริมาณ)ครบ "&amp; AD11&amp;" ชม.ทำการ/สัปดาห์",IF(I43&gt;AD11,"ภาระงานตามพันธกิจ(เชิงปริมาณ)มากกว่า "&amp; AD11 &amp;" ชม.ทำการ/สัปดาห์","ภาระงานตามพันธกิจ(เชิงปริมาณ)น้อยกว่า "&amp;AD11 &amp;" ชม.ทำการ/สัปดาห์"))</f>
        <v>ภาระงานตามพันธกิจ(เชิงปริมาณ)น้อยกว่า 35 ชม.ทำการ/สัปดาห์</v>
      </c>
      <c r="M43" s="2479"/>
      <c r="N43" s="2479"/>
      <c r="O43" s="2479"/>
      <c r="P43" s="2479"/>
      <c r="Q43" s="2480"/>
      <c r="R43" s="2"/>
      <c r="S43" s="1989"/>
      <c r="T43" s="1991" t="s">
        <v>1076</v>
      </c>
      <c r="U43" s="1991"/>
      <c r="V43" s="1991"/>
      <c r="W43" s="1991"/>
      <c r="X43" s="1991"/>
      <c r="Y43" s="1991"/>
      <c r="Z43" s="1971"/>
      <c r="AA43" s="11"/>
      <c r="AB43" s="31"/>
      <c r="AC43" s="1519"/>
    </row>
    <row r="44" spans="1:34" ht="22.5" x14ac:dyDescent="0.55000000000000004">
      <c r="A44" s="1888" t="s">
        <v>73</v>
      </c>
      <c r="B44" s="2474" t="str">
        <f>"ภาระงานเชิงคุณภาพ (ร้อยละ "&amp;AF17&amp;")"</f>
        <v>ภาระงานเชิงคุณภาพ (ร้อยละ 10)</v>
      </c>
      <c r="C44" s="2474"/>
      <c r="D44" s="2474"/>
      <c r="E44" s="2474"/>
      <c r="F44" s="2474"/>
      <c r="G44" s="2474"/>
      <c r="H44" s="2474"/>
      <c r="I44" s="2474"/>
      <c r="J44" s="2474"/>
      <c r="K44" s="2474"/>
      <c r="L44" s="2474"/>
      <c r="M44" s="2474"/>
      <c r="N44" s="2474"/>
      <c r="O44" s="2474"/>
      <c r="P44" s="2474"/>
      <c r="Q44" s="2475"/>
      <c r="R44" s="2"/>
      <c r="S44" s="1982"/>
      <c r="T44" s="1992" t="s">
        <v>1077</v>
      </c>
      <c r="U44" s="1970"/>
      <c r="V44" s="1970"/>
      <c r="W44" s="1990" t="str">
        <f>"ของน้ำหนัก (ง) จะต้องเท่ากับร้อยละ "&amp;AF17</f>
        <v>ของน้ำหนัก (ง) จะต้องเท่ากับร้อยละ 10</v>
      </c>
      <c r="X44" s="1970"/>
      <c r="Y44" s="1970"/>
      <c r="Z44" s="1971"/>
      <c r="AA44" s="11"/>
      <c r="AB44" s="11"/>
      <c r="AC44" s="2"/>
    </row>
    <row r="45" spans="1:34" ht="22.5" x14ac:dyDescent="0.55000000000000004">
      <c r="A45" s="2435" t="s">
        <v>52</v>
      </c>
      <c r="B45" s="2436"/>
      <c r="C45" s="2437"/>
      <c r="D45" s="2366" t="s">
        <v>53</v>
      </c>
      <c r="E45" s="2367"/>
      <c r="F45" s="2367"/>
      <c r="G45" s="2367"/>
      <c r="H45" s="2368"/>
      <c r="I45" s="2346" t="s">
        <v>54</v>
      </c>
      <c r="J45" s="2348"/>
      <c r="K45" s="2348" t="s">
        <v>74</v>
      </c>
      <c r="L45" s="2346" t="s">
        <v>56</v>
      </c>
      <c r="M45" s="2347"/>
      <c r="N45" s="2347"/>
      <c r="O45" s="2347"/>
      <c r="P45" s="2347"/>
      <c r="Q45" s="2348"/>
      <c r="R45" s="6"/>
      <c r="S45" s="1993"/>
      <c r="T45" s="2429"/>
      <c r="U45" s="2429"/>
      <c r="V45" s="2429"/>
      <c r="W45" s="2429"/>
      <c r="X45" s="2429"/>
      <c r="Y45" s="2429"/>
      <c r="Z45" s="1971"/>
      <c r="AA45" s="11"/>
      <c r="AB45" s="11"/>
      <c r="AC45" s="6"/>
    </row>
    <row r="46" spans="1:34" ht="21" x14ac:dyDescent="0.45">
      <c r="A46" s="2466"/>
      <c r="B46" s="2467"/>
      <c r="C46" s="2468"/>
      <c r="D46" s="2369"/>
      <c r="E46" s="2370"/>
      <c r="F46" s="2370"/>
      <c r="G46" s="2370"/>
      <c r="H46" s="2371"/>
      <c r="I46" s="2349"/>
      <c r="J46" s="2351"/>
      <c r="K46" s="2351"/>
      <c r="L46" s="2349"/>
      <c r="M46" s="2350"/>
      <c r="N46" s="2350"/>
      <c r="O46" s="2350"/>
      <c r="P46" s="2350"/>
      <c r="Q46" s="2351"/>
      <c r="R46" s="6"/>
      <c r="S46" s="1993"/>
      <c r="T46" s="1994" t="s">
        <v>75</v>
      </c>
      <c r="U46" s="1994"/>
      <c r="V46" s="1994"/>
      <c r="W46" s="1994"/>
      <c r="X46" s="1994"/>
      <c r="Y46" s="1994"/>
      <c r="Z46" s="1995"/>
      <c r="AA46" s="13"/>
      <c r="AB46" s="13"/>
      <c r="AC46" s="6"/>
    </row>
    <row r="47" spans="1:34" ht="23.25" thickBot="1" x14ac:dyDescent="0.6">
      <c r="A47" s="1893" t="s">
        <v>76</v>
      </c>
      <c r="B47" s="1894" t="s">
        <v>64</v>
      </c>
      <c r="C47" s="1895" t="s">
        <v>77</v>
      </c>
      <c r="D47" s="1896"/>
      <c r="E47" s="1896"/>
      <c r="F47" s="1896"/>
      <c r="G47" s="1896"/>
      <c r="H47" s="1896"/>
      <c r="I47" s="2514">
        <f>SUM(AB22:AI22)</f>
        <v>0</v>
      </c>
      <c r="J47" s="2515"/>
      <c r="K47" s="2070">
        <v>10</v>
      </c>
      <c r="L47" s="1897"/>
      <c r="M47" s="1897"/>
      <c r="N47" s="1897"/>
      <c r="O47" s="2352"/>
      <c r="P47" s="2352"/>
      <c r="Q47" s="2353"/>
      <c r="R47" s="2"/>
      <c r="S47" s="1982"/>
      <c r="T47" s="2513" t="s">
        <v>78</v>
      </c>
      <c r="U47" s="2513"/>
      <c r="V47" s="2513"/>
      <c r="W47" s="2513"/>
      <c r="X47" s="2513"/>
      <c r="Y47" s="2513"/>
      <c r="Z47" s="1971"/>
      <c r="AA47" s="11"/>
      <c r="AB47" s="11"/>
      <c r="AC47" s="2"/>
    </row>
    <row r="48" spans="1:34" ht="53.25" customHeight="1" thickBot="1" x14ac:dyDescent="0.6">
      <c r="A48" s="2285" t="s">
        <v>79</v>
      </c>
      <c r="B48" s="2217" t="s">
        <v>1078</v>
      </c>
      <c r="C48" s="2219"/>
      <c r="D48" s="2217" t="s">
        <v>80</v>
      </c>
      <c r="E48" s="2218"/>
      <c r="F48" s="2218"/>
      <c r="G48" s="2218"/>
      <c r="H48" s="2218"/>
      <c r="I48" s="2361"/>
      <c r="J48" s="2362"/>
      <c r="K48" s="2318">
        <v>1</v>
      </c>
      <c r="L48" s="2320" t="s">
        <v>81</v>
      </c>
      <c r="M48" s="2321"/>
      <c r="N48" s="2321"/>
      <c r="O48" s="2321"/>
      <c r="P48" s="2321"/>
      <c r="Q48" s="2322"/>
      <c r="R48" s="2"/>
      <c r="S48" s="1982"/>
      <c r="T48" s="2357" t="s">
        <v>229</v>
      </c>
      <c r="U48" s="2357"/>
      <c r="V48" s="2357"/>
      <c r="W48" s="2357"/>
      <c r="X48" s="2357"/>
      <c r="Y48" s="2357"/>
      <c r="Z48" s="1971"/>
      <c r="AA48" s="11"/>
      <c r="AB48" s="2331"/>
      <c r="AC48" s="1946"/>
      <c r="AD48" s="2332"/>
      <c r="AE48" s="10"/>
    </row>
    <row r="49" spans="1:31" ht="51.75" customHeight="1" thickBot="1" x14ac:dyDescent="0.6">
      <c r="A49" s="2286"/>
      <c r="B49" s="2323" t="s">
        <v>82</v>
      </c>
      <c r="C49" s="2506"/>
      <c r="D49" s="2217" t="s">
        <v>83</v>
      </c>
      <c r="E49" s="2218"/>
      <c r="F49" s="2218"/>
      <c r="G49" s="2218"/>
      <c r="H49" s="2218"/>
      <c r="I49" s="2361"/>
      <c r="J49" s="2362"/>
      <c r="K49" s="2319"/>
      <c r="L49" s="1948"/>
      <c r="M49" s="1949"/>
      <c r="N49" s="1949"/>
      <c r="O49" s="1949"/>
      <c r="P49" s="1949"/>
      <c r="Q49" s="1950"/>
      <c r="R49" s="2"/>
      <c r="S49" s="1996"/>
      <c r="T49" s="2356" t="s">
        <v>230</v>
      </c>
      <c r="U49" s="2356"/>
      <c r="V49" s="2356"/>
      <c r="W49" s="2356"/>
      <c r="X49" s="2356"/>
      <c r="Y49" s="2356"/>
      <c r="Z49" s="1985"/>
      <c r="AA49" s="11"/>
      <c r="AB49" s="2331"/>
      <c r="AC49" s="1945"/>
      <c r="AD49" s="2332"/>
      <c r="AE49" s="12"/>
    </row>
    <row r="50" spans="1:31" ht="72.75" customHeight="1" thickBot="1" x14ac:dyDescent="0.5">
      <c r="A50" s="2285" t="s">
        <v>84</v>
      </c>
      <c r="B50" s="2217" t="s">
        <v>1079</v>
      </c>
      <c r="C50" s="2219"/>
      <c r="D50" s="2388" t="s">
        <v>85</v>
      </c>
      <c r="E50" s="2389"/>
      <c r="F50" s="2389"/>
      <c r="G50" s="2389"/>
      <c r="H50" s="2389"/>
      <c r="I50" s="2361"/>
      <c r="J50" s="2362"/>
      <c r="K50" s="2318">
        <v>3</v>
      </c>
      <c r="L50" s="2320" t="s">
        <v>81</v>
      </c>
      <c r="M50" s="2321"/>
      <c r="N50" s="2321"/>
      <c r="O50" s="2321"/>
      <c r="P50" s="2321"/>
      <c r="Q50" s="2322"/>
      <c r="R50" s="6"/>
      <c r="S50" s="1997"/>
      <c r="T50" s="1997"/>
      <c r="U50" s="1997"/>
      <c r="V50" s="1997"/>
      <c r="W50" s="1997"/>
      <c r="X50" s="1997"/>
      <c r="Y50" s="1997"/>
      <c r="Z50" s="1997"/>
      <c r="AA50" s="15"/>
      <c r="AB50" s="2331"/>
      <c r="AC50" s="1946"/>
      <c r="AD50" s="2332"/>
      <c r="AE50" s="10"/>
    </row>
    <row r="51" spans="1:31" ht="23.25" thickBot="1" x14ac:dyDescent="0.5">
      <c r="A51" s="2286"/>
      <c r="B51" s="2381" t="s">
        <v>86</v>
      </c>
      <c r="C51" s="2463"/>
      <c r="D51" s="1943"/>
      <c r="E51" s="1944"/>
      <c r="F51" s="1944"/>
      <c r="G51" s="1944"/>
      <c r="H51" s="1944"/>
      <c r="I51" s="2464"/>
      <c r="J51" s="2465"/>
      <c r="K51" s="2319"/>
      <c r="L51" s="1948"/>
      <c r="M51" s="1949"/>
      <c r="N51" s="1949"/>
      <c r="O51" s="1949"/>
      <c r="P51" s="1949"/>
      <c r="Q51" s="1950"/>
      <c r="R51" s="6"/>
      <c r="S51" s="2337" t="s">
        <v>87</v>
      </c>
      <c r="T51" s="2338"/>
      <c r="U51" s="2338"/>
      <c r="V51" s="2338"/>
      <c r="W51" s="2338"/>
      <c r="X51" s="2338"/>
      <c r="Y51" s="2338"/>
      <c r="Z51" s="2339"/>
      <c r="AA51" s="15"/>
      <c r="AB51" s="2331"/>
      <c r="AC51" s="1946"/>
      <c r="AD51" s="2332"/>
      <c r="AE51" s="10"/>
    </row>
    <row r="52" spans="1:31" ht="52.5" customHeight="1" thickBot="1" x14ac:dyDescent="0.6">
      <c r="A52" s="2285" t="s">
        <v>88</v>
      </c>
      <c r="B52" s="2217" t="s">
        <v>231</v>
      </c>
      <c r="C52" s="2219"/>
      <c r="D52" s="2217" t="s">
        <v>80</v>
      </c>
      <c r="E52" s="2218"/>
      <c r="F52" s="2218"/>
      <c r="G52" s="2218"/>
      <c r="H52" s="2218"/>
      <c r="I52" s="2361"/>
      <c r="J52" s="2362"/>
      <c r="K52" s="2318">
        <v>1</v>
      </c>
      <c r="L52" s="2320" t="s">
        <v>81</v>
      </c>
      <c r="M52" s="2321"/>
      <c r="N52" s="2321"/>
      <c r="O52" s="2321"/>
      <c r="P52" s="2321"/>
      <c r="Q52" s="2322"/>
      <c r="R52" s="2"/>
      <c r="S52" s="1982"/>
      <c r="T52" s="2358"/>
      <c r="U52" s="2358"/>
      <c r="V52" s="2358"/>
      <c r="W52" s="2358"/>
      <c r="X52" s="2358"/>
      <c r="Y52" s="2358"/>
      <c r="Z52" s="1998"/>
      <c r="AA52" s="5"/>
      <c r="AB52" s="2331"/>
      <c r="AC52" s="1946"/>
      <c r="AD52" s="2332"/>
      <c r="AE52" s="10"/>
    </row>
    <row r="53" spans="1:31" ht="73.5" customHeight="1" thickBot="1" x14ac:dyDescent="0.6">
      <c r="A53" s="2286"/>
      <c r="B53" s="2217" t="s">
        <v>89</v>
      </c>
      <c r="C53" s="2219"/>
      <c r="D53" s="2217" t="s">
        <v>90</v>
      </c>
      <c r="E53" s="2218"/>
      <c r="F53" s="2218"/>
      <c r="G53" s="2218"/>
      <c r="H53" s="2218"/>
      <c r="I53" s="2361"/>
      <c r="J53" s="2362"/>
      <c r="K53" s="2319"/>
      <c r="L53" s="2023"/>
      <c r="M53" s="2024"/>
      <c r="N53" s="2024"/>
      <c r="O53" s="2024"/>
      <c r="P53" s="2024"/>
      <c r="Q53" s="2025"/>
      <c r="R53" s="2"/>
      <c r="S53" s="1982"/>
      <c r="T53" s="2336" t="s">
        <v>1085</v>
      </c>
      <c r="U53" s="2336"/>
      <c r="V53" s="2336"/>
      <c r="W53" s="2336"/>
      <c r="X53" s="2336"/>
      <c r="Y53" s="2336"/>
      <c r="Z53" s="1971"/>
      <c r="AA53" s="5"/>
      <c r="AB53" s="2331"/>
      <c r="AC53" s="1946"/>
      <c r="AD53" s="2332"/>
      <c r="AE53" s="10"/>
    </row>
    <row r="54" spans="1:31" ht="106.5" customHeight="1" x14ac:dyDescent="0.55000000000000004">
      <c r="A54" s="1898" t="s">
        <v>91</v>
      </c>
      <c r="B54" s="2363" t="s">
        <v>1084</v>
      </c>
      <c r="C54" s="2364"/>
      <c r="D54" s="2363" t="s">
        <v>92</v>
      </c>
      <c r="E54" s="2365"/>
      <c r="F54" s="2365"/>
      <c r="G54" s="2365"/>
      <c r="H54" s="2365"/>
      <c r="I54" s="2377"/>
      <c r="J54" s="2378"/>
      <c r="K54" s="2071">
        <v>3</v>
      </c>
      <c r="L54" s="2343" t="s">
        <v>81</v>
      </c>
      <c r="M54" s="2344"/>
      <c r="N54" s="2344"/>
      <c r="O54" s="2344"/>
      <c r="P54" s="2344"/>
      <c r="Q54" s="2345"/>
      <c r="R54" s="1617"/>
      <c r="S54" s="1982"/>
      <c r="T54" s="1999" t="s">
        <v>93</v>
      </c>
      <c r="U54" s="1999"/>
      <c r="V54" s="1999"/>
      <c r="W54" s="1999"/>
      <c r="X54" s="1999"/>
      <c r="Y54" s="1999"/>
      <c r="Z54" s="1971"/>
      <c r="AA54" s="5"/>
      <c r="AB54" s="1945"/>
      <c r="AC54" s="1946"/>
      <c r="AD54" s="1946"/>
      <c r="AE54" s="10"/>
    </row>
    <row r="55" spans="1:31" ht="22.5" x14ac:dyDescent="0.55000000000000004">
      <c r="A55" s="2372" t="s">
        <v>52</v>
      </c>
      <c r="B55" s="2372"/>
      <c r="C55" s="2372"/>
      <c r="D55" s="2366" t="s">
        <v>53</v>
      </c>
      <c r="E55" s="2367"/>
      <c r="F55" s="2367"/>
      <c r="G55" s="2367"/>
      <c r="H55" s="2368"/>
      <c r="I55" s="2346" t="s">
        <v>54</v>
      </c>
      <c r="J55" s="2348"/>
      <c r="K55" s="2348" t="s">
        <v>74</v>
      </c>
      <c r="L55" s="2346" t="s">
        <v>56</v>
      </c>
      <c r="M55" s="2347"/>
      <c r="N55" s="2347"/>
      <c r="O55" s="2347"/>
      <c r="P55" s="2347"/>
      <c r="Q55" s="2348"/>
      <c r="R55" s="2"/>
      <c r="S55" s="1982"/>
      <c r="T55" s="1999"/>
      <c r="U55" s="1999"/>
      <c r="V55" s="1999"/>
      <c r="W55" s="1999"/>
      <c r="X55" s="1999"/>
      <c r="Y55" s="1999"/>
      <c r="Z55" s="1971"/>
      <c r="AA55" s="5"/>
      <c r="AB55" s="1945"/>
      <c r="AC55" s="1946"/>
      <c r="AD55" s="1946"/>
      <c r="AE55" s="10"/>
    </row>
    <row r="56" spans="1:31" ht="23.25" thickBot="1" x14ac:dyDescent="0.6">
      <c r="A56" s="2372"/>
      <c r="B56" s="2372"/>
      <c r="C56" s="2372"/>
      <c r="D56" s="2369"/>
      <c r="E56" s="2370"/>
      <c r="F56" s="2370"/>
      <c r="G56" s="2370"/>
      <c r="H56" s="2371"/>
      <c r="I56" s="2375"/>
      <c r="J56" s="2376"/>
      <c r="K56" s="2351"/>
      <c r="L56" s="2349"/>
      <c r="M56" s="2350"/>
      <c r="N56" s="2350"/>
      <c r="O56" s="2350"/>
      <c r="P56" s="2350"/>
      <c r="Q56" s="2351"/>
      <c r="R56" s="2"/>
      <c r="S56" s="2000"/>
      <c r="T56" s="2001"/>
      <c r="U56" s="2001"/>
      <c r="V56" s="2001"/>
      <c r="W56" s="2001"/>
      <c r="X56" s="2001"/>
      <c r="Y56" s="2001"/>
      <c r="Z56" s="2002"/>
      <c r="AA56" s="5"/>
      <c r="AB56" s="1945"/>
      <c r="AC56" s="1946"/>
      <c r="AD56" s="1946"/>
      <c r="AE56" s="10"/>
    </row>
    <row r="57" spans="1:31" ht="87.75" customHeight="1" thickBot="1" x14ac:dyDescent="0.6">
      <c r="A57" s="1941" t="s">
        <v>94</v>
      </c>
      <c r="B57" s="2217" t="s">
        <v>1082</v>
      </c>
      <c r="C57" s="2219"/>
      <c r="D57" s="2217" t="s">
        <v>95</v>
      </c>
      <c r="E57" s="2218"/>
      <c r="F57" s="2218"/>
      <c r="G57" s="2218"/>
      <c r="H57" s="2218"/>
      <c r="I57" s="2386"/>
      <c r="J57" s="2387"/>
      <c r="K57" s="2072">
        <v>2</v>
      </c>
      <c r="L57" s="2340" t="s">
        <v>81</v>
      </c>
      <c r="M57" s="2341"/>
      <c r="N57" s="2341"/>
      <c r="O57" s="2341"/>
      <c r="P57" s="2341"/>
      <c r="Q57" s="2342"/>
      <c r="R57" s="3"/>
      <c r="S57" s="1982"/>
      <c r="T57" s="2357"/>
      <c r="U57" s="2357"/>
      <c r="V57" s="2357"/>
      <c r="W57" s="2357"/>
      <c r="X57" s="2357"/>
      <c r="Y57" s="2357"/>
      <c r="Z57" s="1971"/>
      <c r="AA57" s="5"/>
      <c r="AB57" s="1945"/>
      <c r="AC57" s="1946"/>
      <c r="AD57" s="1946"/>
      <c r="AE57" s="10"/>
    </row>
    <row r="58" spans="1:31" ht="23.25" thickBot="1" x14ac:dyDescent="0.6">
      <c r="A58" s="1893" t="s">
        <v>96</v>
      </c>
      <c r="B58" s="1899" t="s">
        <v>67</v>
      </c>
      <c r="C58" s="1900"/>
      <c r="D58" s="1901"/>
      <c r="E58" s="1901"/>
      <c r="F58" s="1901"/>
      <c r="G58" s="1901"/>
      <c r="H58" s="1901"/>
      <c r="I58" s="2384">
        <f>SUM(AJ22:AO22)</f>
        <v>0</v>
      </c>
      <c r="J58" s="2385"/>
      <c r="K58" s="2073">
        <v>10</v>
      </c>
      <c r="L58" s="1902"/>
      <c r="M58" s="1897"/>
      <c r="N58" s="1897"/>
      <c r="O58" s="1897"/>
      <c r="P58" s="2352"/>
      <c r="Q58" s="2353"/>
      <c r="R58" s="2"/>
      <c r="S58" s="2055"/>
      <c r="T58" s="2056"/>
      <c r="U58" s="2056"/>
      <c r="V58" s="2056"/>
      <c r="W58" s="2056"/>
      <c r="X58" s="2056"/>
      <c r="Y58" s="2056"/>
      <c r="Z58" s="2057"/>
      <c r="AA58" s="5"/>
      <c r="AB58" s="11"/>
      <c r="AC58" s="1946"/>
      <c r="AD58" s="1946"/>
      <c r="AE58" s="10"/>
    </row>
    <row r="59" spans="1:31" ht="23.25" thickBot="1" x14ac:dyDescent="0.6">
      <c r="A59" s="1903" t="s">
        <v>79</v>
      </c>
      <c r="B59" s="2379" t="s">
        <v>97</v>
      </c>
      <c r="C59" s="2380"/>
      <c r="D59" s="2381" t="s">
        <v>98</v>
      </c>
      <c r="E59" s="2382"/>
      <c r="F59" s="2382"/>
      <c r="G59" s="2382"/>
      <c r="H59" s="2383"/>
      <c r="I59" s="2373"/>
      <c r="J59" s="2374"/>
      <c r="K59" s="2071">
        <v>5</v>
      </c>
      <c r="L59" s="2333" t="s">
        <v>81</v>
      </c>
      <c r="M59" s="2334"/>
      <c r="N59" s="2334"/>
      <c r="O59" s="2334"/>
      <c r="P59" s="2334"/>
      <c r="Q59" s="2335"/>
      <c r="R59" s="2"/>
      <c r="S59" s="2058"/>
      <c r="T59" s="2059"/>
      <c r="U59" s="2059"/>
      <c r="V59" s="2059"/>
      <c r="W59" s="2059"/>
      <c r="X59" s="2059"/>
      <c r="Y59" s="2059"/>
      <c r="Z59" s="2060"/>
      <c r="AA59" s="5"/>
      <c r="AB59" s="1945"/>
      <c r="AC59" s="1946"/>
      <c r="AD59" s="1946"/>
      <c r="AE59" s="10"/>
    </row>
    <row r="60" spans="1:31" ht="17.25" customHeight="1" x14ac:dyDescent="0.55000000000000004">
      <c r="A60" s="1940" t="s">
        <v>84</v>
      </c>
      <c r="B60" s="2388" t="s">
        <v>99</v>
      </c>
      <c r="C60" s="2390"/>
      <c r="D60" s="2388" t="s">
        <v>233</v>
      </c>
      <c r="E60" s="2389"/>
      <c r="F60" s="2389"/>
      <c r="G60" s="2389"/>
      <c r="H60" s="2390"/>
      <c r="I60" s="2398" t="s">
        <v>100</v>
      </c>
      <c r="J60" s="2399"/>
      <c r="K60" s="2359">
        <v>5</v>
      </c>
      <c r="L60" s="2320" t="s">
        <v>81</v>
      </c>
      <c r="M60" s="2321"/>
      <c r="N60" s="2321"/>
      <c r="O60" s="2321"/>
      <c r="P60" s="2321"/>
      <c r="Q60" s="2322"/>
      <c r="R60" s="2"/>
      <c r="S60" s="2"/>
      <c r="T60" s="2"/>
      <c r="U60" s="2"/>
      <c r="V60" s="2"/>
      <c r="W60" s="2"/>
      <c r="X60" s="2"/>
      <c r="Y60" s="2"/>
      <c r="Z60" s="2"/>
      <c r="AA60" s="5"/>
      <c r="AB60" s="1945"/>
      <c r="AC60" s="1946"/>
      <c r="AD60" s="1946"/>
      <c r="AE60" s="10"/>
    </row>
    <row r="61" spans="1:31" ht="23.25" thickBot="1" x14ac:dyDescent="0.6">
      <c r="A61" s="1904"/>
      <c r="B61" s="1905"/>
      <c r="C61" s="1906"/>
      <c r="D61" s="2402" t="s">
        <v>101</v>
      </c>
      <c r="E61" s="2403"/>
      <c r="F61" s="2403"/>
      <c r="G61" s="2403"/>
      <c r="H61" s="2404"/>
      <c r="I61" s="2400">
        <f>AK22</f>
        <v>0</v>
      </c>
      <c r="J61" s="2401"/>
      <c r="K61" s="2360"/>
      <c r="L61" s="2026"/>
      <c r="M61" s="2027"/>
      <c r="N61" s="2027"/>
      <c r="O61" s="2027"/>
      <c r="P61" s="2027"/>
      <c r="Q61" s="2028"/>
      <c r="R61" s="2"/>
      <c r="S61" s="2"/>
      <c r="T61" s="2"/>
      <c r="U61" s="2"/>
      <c r="V61" s="2"/>
      <c r="W61" s="2"/>
      <c r="X61" s="2"/>
      <c r="Y61" s="2"/>
      <c r="Z61" s="2"/>
      <c r="AA61" s="5"/>
      <c r="AB61" s="1945"/>
      <c r="AC61" s="1946"/>
      <c r="AD61" s="1946"/>
      <c r="AE61" s="25"/>
    </row>
    <row r="62" spans="1:31" ht="22.5" x14ac:dyDescent="0.55000000000000004">
      <c r="A62" s="1904"/>
      <c r="B62" s="1905"/>
      <c r="C62" s="1906"/>
      <c r="D62" s="2316" t="s">
        <v>102</v>
      </c>
      <c r="E62" s="2317"/>
      <c r="F62" s="2317"/>
      <c r="G62" s="2317"/>
      <c r="H62" s="2317"/>
      <c r="I62" s="2314"/>
      <c r="J62" s="2315"/>
      <c r="K62" s="2074">
        <v>1</v>
      </c>
      <c r="L62" s="2026"/>
      <c r="M62" s="2027"/>
      <c r="N62" s="2027"/>
      <c r="O62" s="2027"/>
      <c r="P62" s="2027"/>
      <c r="Q62" s="2028"/>
      <c r="R62" s="2"/>
      <c r="S62" s="2"/>
      <c r="T62" s="2"/>
      <c r="U62" s="2"/>
      <c r="V62" s="2"/>
      <c r="W62" s="2"/>
      <c r="X62" s="2"/>
      <c r="Y62" s="2"/>
      <c r="Z62" s="2"/>
      <c r="AA62" s="5"/>
      <c r="AB62" s="1945"/>
      <c r="AC62" s="1946"/>
      <c r="AD62" s="2332"/>
      <c r="AE62" s="25"/>
    </row>
    <row r="63" spans="1:31" ht="22.5" x14ac:dyDescent="0.55000000000000004">
      <c r="A63" s="1904"/>
      <c r="B63" s="1957"/>
      <c r="C63" s="1605"/>
      <c r="D63" s="2316" t="s">
        <v>103</v>
      </c>
      <c r="E63" s="2317"/>
      <c r="F63" s="2317"/>
      <c r="G63" s="2317"/>
      <c r="H63" s="2317"/>
      <c r="I63" s="2312"/>
      <c r="J63" s="2313"/>
      <c r="K63" s="2074">
        <v>2</v>
      </c>
      <c r="L63" s="2026"/>
      <c r="M63" s="2027"/>
      <c r="N63" s="2027"/>
      <c r="O63" s="2027"/>
      <c r="P63" s="2027"/>
      <c r="Q63" s="2028"/>
      <c r="R63" s="2"/>
      <c r="S63" s="2"/>
      <c r="T63" s="2"/>
      <c r="U63" s="2"/>
      <c r="V63" s="2"/>
      <c r="W63" s="2"/>
      <c r="X63" s="2"/>
      <c r="Y63" s="2"/>
      <c r="Z63" s="2"/>
      <c r="AA63" s="5"/>
      <c r="AB63" s="1945"/>
      <c r="AC63" s="1946"/>
      <c r="AD63" s="2332"/>
      <c r="AE63" s="25"/>
    </row>
    <row r="64" spans="1:31" ht="22.5" x14ac:dyDescent="0.55000000000000004">
      <c r="A64" s="1904"/>
      <c r="B64" s="1957"/>
      <c r="C64" s="1605"/>
      <c r="D64" s="2316" t="s">
        <v>104</v>
      </c>
      <c r="E64" s="2317"/>
      <c r="F64" s="2317"/>
      <c r="G64" s="2317"/>
      <c r="H64" s="2317"/>
      <c r="I64" s="2312"/>
      <c r="J64" s="2313"/>
      <c r="K64" s="2074">
        <v>3</v>
      </c>
      <c r="L64" s="2026"/>
      <c r="M64" s="2027"/>
      <c r="N64" s="2027"/>
      <c r="O64" s="2027"/>
      <c r="P64" s="2027"/>
      <c r="Q64" s="2028"/>
      <c r="R64" s="2"/>
      <c r="S64" s="2"/>
      <c r="T64" s="2"/>
      <c r="U64" s="2"/>
      <c r="V64" s="2"/>
      <c r="W64" s="2"/>
      <c r="X64" s="2"/>
      <c r="Y64" s="2"/>
      <c r="Z64" s="2"/>
      <c r="AA64" s="5"/>
      <c r="AB64" s="1945"/>
      <c r="AC64" s="1946"/>
      <c r="AD64" s="2332"/>
      <c r="AE64" s="25"/>
    </row>
    <row r="65" spans="1:31" ht="22.5" x14ac:dyDescent="0.55000000000000004">
      <c r="A65" s="1904"/>
      <c r="B65" s="1957"/>
      <c r="C65" s="1605"/>
      <c r="D65" s="2316" t="s">
        <v>105</v>
      </c>
      <c r="E65" s="2317"/>
      <c r="F65" s="2317"/>
      <c r="G65" s="2317"/>
      <c r="H65" s="2317"/>
      <c r="I65" s="2312"/>
      <c r="J65" s="2313"/>
      <c r="K65" s="2074">
        <v>4</v>
      </c>
      <c r="L65" s="2026"/>
      <c r="M65" s="2027"/>
      <c r="N65" s="2027"/>
      <c r="O65" s="2027"/>
      <c r="P65" s="2027"/>
      <c r="Q65" s="2028"/>
      <c r="R65" s="2"/>
      <c r="S65" s="2"/>
      <c r="T65" s="2"/>
      <c r="U65" s="2"/>
      <c r="V65" s="2"/>
      <c r="W65" s="2"/>
      <c r="X65" s="2"/>
      <c r="Y65" s="2"/>
      <c r="Z65" s="2"/>
      <c r="AA65" s="5"/>
      <c r="AB65" s="1945"/>
      <c r="AC65" s="1946"/>
      <c r="AD65" s="2332"/>
      <c r="AE65" s="25"/>
    </row>
    <row r="66" spans="1:31" ht="23.25" thickBot="1" x14ac:dyDescent="0.6">
      <c r="A66" s="1941"/>
      <c r="B66" s="1943"/>
      <c r="C66" s="1958"/>
      <c r="D66" s="2405" t="s">
        <v>106</v>
      </c>
      <c r="E66" s="2406"/>
      <c r="F66" s="2406"/>
      <c r="G66" s="2406"/>
      <c r="H66" s="2406"/>
      <c r="I66" s="2407"/>
      <c r="J66" s="2408"/>
      <c r="K66" s="2075">
        <v>5</v>
      </c>
      <c r="L66" s="2023"/>
      <c r="M66" s="2024"/>
      <c r="N66" s="2024"/>
      <c r="O66" s="2024"/>
      <c r="P66" s="2024"/>
      <c r="Q66" s="2025"/>
      <c r="R66" s="2"/>
      <c r="S66" s="2"/>
      <c r="T66" s="2"/>
      <c r="U66" s="2"/>
      <c r="V66" s="2"/>
      <c r="W66" s="5"/>
      <c r="X66" s="2"/>
      <c r="Y66" s="2"/>
      <c r="Z66" s="2"/>
      <c r="AA66" s="5"/>
      <c r="AB66" s="1945"/>
      <c r="AC66" s="1946"/>
      <c r="AD66" s="2332"/>
      <c r="AE66" s="25"/>
    </row>
    <row r="67" spans="1:31" ht="23.25" thickBot="1" x14ac:dyDescent="0.5">
      <c r="A67" s="1893" t="s">
        <v>107</v>
      </c>
      <c r="B67" s="1899" t="s">
        <v>108</v>
      </c>
      <c r="C67" s="1900"/>
      <c r="D67" s="1901"/>
      <c r="E67" s="1901"/>
      <c r="F67" s="1901"/>
      <c r="G67" s="1901"/>
      <c r="H67" s="1901"/>
      <c r="I67" s="2384">
        <f>SUM(AP22:AR22)</f>
        <v>0</v>
      </c>
      <c r="J67" s="2385"/>
      <c r="K67" s="2073">
        <v>5</v>
      </c>
      <c r="L67" s="1899"/>
      <c r="M67" s="1899"/>
      <c r="N67" s="1899"/>
      <c r="O67" s="1899"/>
      <c r="P67" s="2354"/>
      <c r="Q67" s="2355"/>
      <c r="R67" s="6"/>
      <c r="S67" s="6"/>
      <c r="T67" s="6"/>
      <c r="U67" s="6"/>
      <c r="V67" s="6"/>
      <c r="W67" s="6"/>
      <c r="X67" s="6"/>
      <c r="Y67" s="6"/>
      <c r="Z67" s="6"/>
      <c r="AA67" s="15"/>
      <c r="AB67" s="13"/>
      <c r="AC67" s="14"/>
      <c r="AD67" s="14"/>
      <c r="AE67" s="25"/>
    </row>
    <row r="68" spans="1:31" ht="71.25" customHeight="1" thickBot="1" x14ac:dyDescent="0.5">
      <c r="A68" s="1907" t="s">
        <v>79</v>
      </c>
      <c r="B68" s="2218" t="s">
        <v>109</v>
      </c>
      <c r="C68" s="2219"/>
      <c r="D68" s="2323" t="s">
        <v>110</v>
      </c>
      <c r="E68" s="2324"/>
      <c r="F68" s="2324"/>
      <c r="G68" s="2324"/>
      <c r="H68" s="2324"/>
      <c r="I68" s="2386"/>
      <c r="J68" s="2387"/>
      <c r="K68" s="2071">
        <v>2.5</v>
      </c>
      <c r="L68" s="2340" t="s">
        <v>81</v>
      </c>
      <c r="M68" s="2341"/>
      <c r="N68" s="2341"/>
      <c r="O68" s="2341"/>
      <c r="P68" s="2341"/>
      <c r="Q68" s="2342"/>
      <c r="R68" s="1629"/>
      <c r="S68" s="46"/>
      <c r="T68" s="46"/>
      <c r="U68" s="46"/>
      <c r="V68" s="46"/>
      <c r="W68" s="46"/>
      <c r="X68" s="46"/>
      <c r="Y68" s="46"/>
      <c r="Z68" s="46"/>
      <c r="AA68" s="13"/>
      <c r="AB68" s="1945"/>
      <c r="AC68" s="1946"/>
      <c r="AD68" s="1946"/>
      <c r="AE68" s="10"/>
    </row>
    <row r="69" spans="1:31" ht="22.5" x14ac:dyDescent="0.55000000000000004">
      <c r="A69" s="2372" t="s">
        <v>52</v>
      </c>
      <c r="B69" s="2372"/>
      <c r="C69" s="2372"/>
      <c r="D69" s="2366" t="s">
        <v>53</v>
      </c>
      <c r="E69" s="2367"/>
      <c r="F69" s="2367"/>
      <c r="G69" s="2367"/>
      <c r="H69" s="2368"/>
      <c r="I69" s="2375" t="s">
        <v>54</v>
      </c>
      <c r="J69" s="2376"/>
      <c r="K69" s="2348" t="s">
        <v>74</v>
      </c>
      <c r="L69" s="2346" t="s">
        <v>56</v>
      </c>
      <c r="M69" s="2347"/>
      <c r="N69" s="2347"/>
      <c r="O69" s="2347"/>
      <c r="P69" s="2347"/>
      <c r="Q69" s="2348"/>
      <c r="R69" s="1617"/>
      <c r="S69" s="2003"/>
      <c r="T69" s="2004"/>
      <c r="U69" s="2004"/>
      <c r="V69" s="2004"/>
      <c r="W69" s="2004"/>
      <c r="X69" s="2004"/>
      <c r="Y69" s="2004"/>
      <c r="Z69" s="2003"/>
      <c r="AA69" s="11"/>
      <c r="AB69" s="1945"/>
      <c r="AC69" s="1946"/>
      <c r="AD69" s="1946"/>
      <c r="AE69" s="10"/>
    </row>
    <row r="70" spans="1:31" ht="23.25" thickBot="1" x14ac:dyDescent="0.6">
      <c r="A70" s="2372"/>
      <c r="B70" s="2372"/>
      <c r="C70" s="2372"/>
      <c r="D70" s="2369"/>
      <c r="E70" s="2370"/>
      <c r="F70" s="2370"/>
      <c r="G70" s="2370"/>
      <c r="H70" s="2371"/>
      <c r="I70" s="2375"/>
      <c r="J70" s="2376"/>
      <c r="K70" s="2351"/>
      <c r="L70" s="2349"/>
      <c r="M70" s="2350"/>
      <c r="N70" s="2350"/>
      <c r="O70" s="2350"/>
      <c r="P70" s="2350"/>
      <c r="Q70" s="2351"/>
      <c r="R70" s="1617"/>
      <c r="S70" s="2005"/>
      <c r="T70" s="2006"/>
      <c r="U70" s="2006"/>
      <c r="V70" s="2006"/>
      <c r="W70" s="2006"/>
      <c r="X70" s="2006"/>
      <c r="Y70" s="2006"/>
      <c r="Z70" s="2005"/>
      <c r="AA70" s="11"/>
      <c r="AB70" s="1945"/>
      <c r="AC70" s="1946"/>
      <c r="AD70" s="1946"/>
      <c r="AE70" s="10"/>
    </row>
    <row r="71" spans="1:31" ht="53.25" customHeight="1" thickBot="1" x14ac:dyDescent="0.6">
      <c r="A71" s="2285" t="s">
        <v>84</v>
      </c>
      <c r="B71" s="2217" t="s">
        <v>1083</v>
      </c>
      <c r="C71" s="2219"/>
      <c r="D71" s="2217" t="s">
        <v>111</v>
      </c>
      <c r="E71" s="2218"/>
      <c r="F71" s="2218"/>
      <c r="G71" s="2218"/>
      <c r="H71" s="2218"/>
      <c r="I71" s="2386"/>
      <c r="J71" s="2387"/>
      <c r="K71" s="2318">
        <v>2.5</v>
      </c>
      <c r="L71" s="2320" t="s">
        <v>81</v>
      </c>
      <c r="M71" s="2321"/>
      <c r="N71" s="2321"/>
      <c r="O71" s="2321"/>
      <c r="P71" s="2321"/>
      <c r="Q71" s="2322"/>
      <c r="R71" s="2"/>
      <c r="S71" s="2"/>
      <c r="T71" s="2"/>
      <c r="U71" s="2"/>
      <c r="V71" s="2"/>
      <c r="W71" s="2"/>
      <c r="X71" s="2"/>
      <c r="Y71" s="2"/>
      <c r="Z71" s="2"/>
      <c r="AA71" s="5"/>
      <c r="AB71" s="2331"/>
      <c r="AC71" s="1946"/>
      <c r="AD71" s="2332"/>
      <c r="AE71" s="10"/>
    </row>
    <row r="72" spans="1:31" ht="54.75" customHeight="1" thickBot="1" x14ac:dyDescent="0.6">
      <c r="A72" s="2286"/>
      <c r="B72" s="2324" t="s">
        <v>112</v>
      </c>
      <c r="C72" s="2506"/>
      <c r="D72" s="2323" t="s">
        <v>110</v>
      </c>
      <c r="E72" s="2324"/>
      <c r="F72" s="2324"/>
      <c r="G72" s="2324"/>
      <c r="H72" s="2324"/>
      <c r="I72" s="2386"/>
      <c r="J72" s="2387"/>
      <c r="K72" s="2319"/>
      <c r="L72" s="1948"/>
      <c r="M72" s="1949"/>
      <c r="N72" s="1949"/>
      <c r="O72" s="1949"/>
      <c r="P72" s="1949"/>
      <c r="Q72" s="1950"/>
      <c r="R72" s="2"/>
      <c r="S72" s="2"/>
      <c r="T72" s="2"/>
      <c r="U72" s="2"/>
      <c r="V72" s="2"/>
      <c r="W72" s="2"/>
      <c r="X72" s="2"/>
      <c r="Y72" s="2"/>
      <c r="Z72" s="2"/>
      <c r="AA72" s="5"/>
      <c r="AB72" s="2331"/>
      <c r="AC72" s="1946"/>
      <c r="AD72" s="2332"/>
      <c r="AE72" s="10"/>
    </row>
    <row r="73" spans="1:31" ht="22.5" x14ac:dyDescent="0.55000000000000004">
      <c r="A73" s="1908"/>
      <c r="B73" s="1909"/>
      <c r="C73" s="1909"/>
      <c r="D73" s="1909"/>
      <c r="E73" s="1909"/>
      <c r="F73" s="1909"/>
      <c r="G73" s="1909"/>
      <c r="H73" s="1910" t="s">
        <v>1096</v>
      </c>
      <c r="I73" s="2516">
        <f>I47+I58+I67</f>
        <v>0</v>
      </c>
      <c r="J73" s="2516"/>
      <c r="K73" s="1615">
        <f>K47+K58+K67</f>
        <v>25</v>
      </c>
      <c r="L73" s="2392" t="str">
        <f>IF(C13="ไม่มี","กรณีที่ไม่ได้ดำรงตำแหน่งบริหาร ผลรวมน้ำหนักภาระงานจะคำนวณเทียบบัญญัติไตรยางค์จากผลรวมคะแนนร้อยละ 25","กรณีที่ดำรงตำแหน่งบริหาร ผลรวมน้ำหนักภาระงานจะคิดสูงสุด ไม่เกินค่าน้ำหนักภาระงานพันธกิจเชิงคุณภาพของตำแหน่งบริหารที่กำหนดไว้")</f>
        <v>กรณีที่ไม่ได้ดำรงตำแหน่งบริหาร ผลรวมน้ำหนักภาระงานจะคำนวณเทียบบัญญัติไตรยางค์จากผลรวมคะแนนร้อยละ 25</v>
      </c>
      <c r="M73" s="2393"/>
      <c r="N73" s="2393"/>
      <c r="O73" s="2393"/>
      <c r="P73" s="2393"/>
      <c r="Q73" s="2394"/>
      <c r="R73" s="2"/>
      <c r="S73" s="2"/>
      <c r="T73" s="2"/>
      <c r="U73" s="2"/>
      <c r="V73" s="2"/>
      <c r="W73" s="2"/>
      <c r="X73" s="2"/>
      <c r="Y73" s="2"/>
      <c r="Z73" s="2"/>
      <c r="AA73" s="5"/>
      <c r="AB73" s="11"/>
      <c r="AC73" s="3"/>
      <c r="AD73" s="25"/>
      <c r="AE73" s="10"/>
    </row>
    <row r="74" spans="1:31" ht="22.5" x14ac:dyDescent="0.55000000000000004">
      <c r="A74" s="1908"/>
      <c r="B74" s="1909"/>
      <c r="C74" s="1909"/>
      <c r="D74" s="1909"/>
      <c r="E74" s="1909"/>
      <c r="F74" s="1909"/>
      <c r="G74" s="1909"/>
      <c r="H74" s="1910" t="str">
        <f>IF(C13="ไม่มี","คิดน้ำหนักภาระงานตามพันธกิจ เชิงคุณภาพ (ร้อยละ "&amp; AF17 &amp; ")","คิดน้ำหนักภาระงานตามพันธกิจ เชิงคุณภาพ ตามตำแหน่งบริหาร (ร้อยละ " &amp; AF17 &amp; ")")</f>
        <v>คิดน้ำหนักภาระงานตามพันธกิจ เชิงคุณภาพ (ร้อยละ 10)</v>
      </c>
      <c r="I74" s="2517">
        <f>IF(C13="ไม่มี",I73*K74/K73,IF(I73*10/K73 &gt;K74,K74,I73*10/K73))</f>
        <v>0</v>
      </c>
      <c r="J74" s="2517"/>
      <c r="K74" s="1616">
        <f>IF(C13="ไม่มี",AF17,AF17)</f>
        <v>10</v>
      </c>
      <c r="L74" s="2395"/>
      <c r="M74" s="2396"/>
      <c r="N74" s="2396"/>
      <c r="O74" s="2396"/>
      <c r="P74" s="2396"/>
      <c r="Q74" s="2397"/>
      <c r="R74" s="2"/>
      <c r="S74" s="2"/>
      <c r="T74" s="2"/>
      <c r="U74" s="2"/>
      <c r="V74" s="2"/>
      <c r="W74" s="2"/>
      <c r="X74" s="2"/>
      <c r="Y74" s="2"/>
      <c r="Z74" s="2"/>
      <c r="AA74" s="5"/>
      <c r="AB74" s="11"/>
      <c r="AC74" s="3"/>
      <c r="AD74" s="25"/>
      <c r="AE74" s="10"/>
    </row>
    <row r="75" spans="1:31" ht="22.5" x14ac:dyDescent="0.55000000000000004">
      <c r="A75" s="2325" t="str">
        <f>"3.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"&amp;AC13&amp;")"</f>
        <v>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40)</v>
      </c>
      <c r="B75" s="2326"/>
      <c r="C75" s="2326"/>
      <c r="D75" s="2326"/>
      <c r="E75" s="2326"/>
      <c r="F75" s="2326"/>
      <c r="G75" s="2326"/>
      <c r="H75" s="2326"/>
      <c r="I75" s="2326"/>
      <c r="J75" s="2326"/>
      <c r="K75" s="2326"/>
      <c r="L75" s="2326"/>
      <c r="M75" s="2326"/>
      <c r="N75" s="2326"/>
      <c r="O75" s="2326"/>
      <c r="P75" s="2326"/>
      <c r="Q75" s="2327"/>
      <c r="R75" s="2"/>
      <c r="AB75" s="11"/>
      <c r="AC75" s="3"/>
      <c r="AD75" s="3"/>
      <c r="AE75" s="10"/>
    </row>
    <row r="76" spans="1:31" ht="22.5" customHeight="1" x14ac:dyDescent="0.55000000000000004">
      <c r="A76" s="2507" t="s">
        <v>52</v>
      </c>
      <c r="B76" s="2508"/>
      <c r="C76" s="2509"/>
      <c r="D76" s="2510" t="s">
        <v>53</v>
      </c>
      <c r="E76" s="2511"/>
      <c r="F76" s="2511"/>
      <c r="G76" s="2511"/>
      <c r="H76" s="2512"/>
      <c r="I76" s="2409" t="s">
        <v>54</v>
      </c>
      <c r="J76" s="2410"/>
      <c r="K76" s="2328" t="s">
        <v>74</v>
      </c>
      <c r="L76" s="2306" t="s">
        <v>56</v>
      </c>
      <c r="M76" s="2329"/>
      <c r="N76" s="2329"/>
      <c r="O76" s="2329"/>
      <c r="P76" s="2329"/>
      <c r="Q76" s="2307"/>
      <c r="R76" s="2"/>
      <c r="AB76" s="13"/>
      <c r="AC76" s="46"/>
      <c r="AD76" s="46"/>
      <c r="AE76" s="10"/>
    </row>
    <row r="77" spans="1:31" ht="22.5" customHeight="1" x14ac:dyDescent="0.55000000000000004">
      <c r="A77" s="2290"/>
      <c r="B77" s="2291"/>
      <c r="C77" s="2292"/>
      <c r="D77" s="2296"/>
      <c r="E77" s="2297"/>
      <c r="F77" s="2297"/>
      <c r="G77" s="2297"/>
      <c r="H77" s="2298"/>
      <c r="I77" s="2301"/>
      <c r="J77" s="2302"/>
      <c r="K77" s="2304"/>
      <c r="L77" s="1942">
        <v>1</v>
      </c>
      <c r="M77" s="1942">
        <v>2</v>
      </c>
      <c r="N77" s="1942">
        <v>3</v>
      </c>
      <c r="O77" s="1942">
        <v>4</v>
      </c>
      <c r="P77" s="2306">
        <v>5</v>
      </c>
      <c r="Q77" s="2307"/>
      <c r="R77" s="2"/>
      <c r="AB77" s="13"/>
      <c r="AC77" s="46"/>
      <c r="AD77" s="46"/>
      <c r="AE77" s="2"/>
    </row>
    <row r="78" spans="1:31" ht="22.5" customHeight="1" x14ac:dyDescent="0.55000000000000004">
      <c r="A78" s="2112" t="s">
        <v>1179</v>
      </c>
      <c r="B78" s="2113"/>
      <c r="C78" s="2113"/>
      <c r="D78" s="2113"/>
      <c r="E78" s="2113"/>
      <c r="F78" s="2113"/>
      <c r="G78" s="2113"/>
      <c r="H78" s="2114"/>
      <c r="I78" s="2262"/>
      <c r="J78" s="2263"/>
      <c r="K78" s="2150">
        <f>IF(AD40&lt;&gt;0,AD40,"")</f>
        <v>25</v>
      </c>
      <c r="L78" s="1618"/>
      <c r="M78" s="1618"/>
      <c r="N78" s="1618"/>
      <c r="O78" s="1618"/>
      <c r="P78" s="2258"/>
      <c r="Q78" s="2259"/>
      <c r="R78" s="6"/>
      <c r="S78" s="2260"/>
      <c r="T78" s="2260"/>
      <c r="U78" s="2260"/>
      <c r="V78" s="2260"/>
      <c r="W78" s="2260"/>
      <c r="X78" s="2260"/>
      <c r="Y78" s="2260"/>
      <c r="Z78" s="2260"/>
      <c r="AA78" s="15"/>
      <c r="AB78" s="13"/>
      <c r="AC78" s="46"/>
      <c r="AD78" s="46"/>
      <c r="AE78" s="6"/>
    </row>
    <row r="79" spans="1:31" ht="23.25" thickBot="1" x14ac:dyDescent="0.6">
      <c r="A79" s="2160"/>
      <c r="B79" s="2161" t="s">
        <v>1180</v>
      </c>
      <c r="C79" s="2162"/>
      <c r="D79" s="2237"/>
      <c r="E79" s="2238"/>
      <c r="F79" s="2238"/>
      <c r="G79" s="2238"/>
      <c r="H79" s="2238"/>
      <c r="I79" s="2239"/>
      <c r="J79" s="2239"/>
      <c r="K79" s="2163">
        <f>IF(AB40&lt;&gt;0,AB40,"")</f>
        <v>10</v>
      </c>
      <c r="L79" s="2164"/>
      <c r="M79" s="2164"/>
      <c r="N79" s="2164"/>
      <c r="O79" s="2164"/>
      <c r="P79" s="2240"/>
      <c r="Q79" s="2240"/>
      <c r="R79" s="6"/>
      <c r="S79" s="31"/>
      <c r="T79" s="2232"/>
      <c r="U79" s="2232"/>
      <c r="V79" s="2232"/>
      <c r="W79" s="2232"/>
      <c r="X79" s="2232"/>
      <c r="Y79" s="2232"/>
      <c r="Z79" s="2007"/>
      <c r="AA79" s="15"/>
      <c r="AB79" s="13"/>
      <c r="AC79" s="46"/>
      <c r="AD79" s="46"/>
      <c r="AE79" s="6"/>
    </row>
    <row r="80" spans="1:31" ht="53.25" customHeight="1" thickBot="1" x14ac:dyDescent="0.6">
      <c r="A80" s="2227"/>
      <c r="B80" s="2227"/>
      <c r="C80" s="2227"/>
      <c r="D80" s="2228"/>
      <c r="E80" s="2229"/>
      <c r="F80" s="2229"/>
      <c r="G80" s="2229"/>
      <c r="H80" s="2229"/>
      <c r="I80" s="2230"/>
      <c r="J80" s="2230"/>
      <c r="K80" s="2171"/>
      <c r="L80" s="2172"/>
      <c r="M80" s="2172"/>
      <c r="N80" s="2172"/>
      <c r="O80" s="2172"/>
      <c r="P80" s="2231"/>
      <c r="Q80" s="2231"/>
      <c r="R80" s="6"/>
      <c r="S80" s="31"/>
      <c r="T80" s="2232"/>
      <c r="U80" s="2232"/>
      <c r="V80" s="2232"/>
      <c r="W80" s="2232"/>
      <c r="X80" s="2232"/>
      <c r="Y80" s="2232"/>
      <c r="Z80" s="2007"/>
      <c r="AA80" s="15"/>
      <c r="AB80" s="13"/>
      <c r="AC80" s="46"/>
      <c r="AD80" s="46"/>
      <c r="AE80" s="6"/>
    </row>
    <row r="81" spans="1:31" ht="23.25" thickBot="1" x14ac:dyDescent="0.6">
      <c r="A81" s="2165"/>
      <c r="B81" s="2166" t="s">
        <v>1181</v>
      </c>
      <c r="C81" s="2167"/>
      <c r="D81" s="2233"/>
      <c r="E81" s="2234"/>
      <c r="F81" s="2234"/>
      <c r="G81" s="2234"/>
      <c r="H81" s="2234"/>
      <c r="I81" s="2235"/>
      <c r="J81" s="2235"/>
      <c r="K81" s="2168">
        <f>IF(AC40&lt;&gt;0,AC40,"")</f>
        <v>15</v>
      </c>
      <c r="L81" s="2169"/>
      <c r="M81" s="2169"/>
      <c r="N81" s="2169"/>
      <c r="O81" s="2169"/>
      <c r="P81" s="2236"/>
      <c r="Q81" s="2236"/>
      <c r="R81" s="6"/>
      <c r="S81" s="31"/>
      <c r="T81" s="2232"/>
      <c r="U81" s="2232"/>
      <c r="V81" s="2232"/>
      <c r="W81" s="2232"/>
      <c r="X81" s="2232"/>
      <c r="Y81" s="2232"/>
      <c r="Z81" s="2007"/>
      <c r="AA81" s="15"/>
      <c r="AB81" s="13"/>
      <c r="AC81" s="46"/>
      <c r="AD81" s="46"/>
      <c r="AE81" s="6"/>
    </row>
    <row r="82" spans="1:31" ht="52.5" customHeight="1" thickBot="1" x14ac:dyDescent="0.6">
      <c r="A82" s="2227"/>
      <c r="B82" s="2227"/>
      <c r="C82" s="2227"/>
      <c r="D82" s="2228"/>
      <c r="E82" s="2229"/>
      <c r="F82" s="2229"/>
      <c r="G82" s="2229"/>
      <c r="H82" s="2229"/>
      <c r="I82" s="2230"/>
      <c r="J82" s="2230"/>
      <c r="K82" s="2171"/>
      <c r="L82" s="2172"/>
      <c r="M82" s="2172"/>
      <c r="N82" s="2172"/>
      <c r="O82" s="2172"/>
      <c r="P82" s="2231"/>
      <c r="Q82" s="2231"/>
      <c r="R82" s="6"/>
      <c r="S82" s="31"/>
      <c r="T82" s="2232"/>
      <c r="U82" s="2232"/>
      <c r="V82" s="2232"/>
      <c r="W82" s="2232"/>
      <c r="X82" s="2232"/>
      <c r="Y82" s="2232"/>
      <c r="Z82" s="2007"/>
      <c r="AA82" s="15"/>
      <c r="AB82" s="13"/>
      <c r="AC82" s="46"/>
      <c r="AD82" s="46"/>
      <c r="AE82" s="6"/>
    </row>
    <row r="83" spans="1:31" ht="22.5" customHeight="1" x14ac:dyDescent="0.55000000000000004">
      <c r="A83" s="2287" t="s">
        <v>52</v>
      </c>
      <c r="B83" s="2288"/>
      <c r="C83" s="2289"/>
      <c r="D83" s="2293" t="s">
        <v>53</v>
      </c>
      <c r="E83" s="2294"/>
      <c r="F83" s="2294"/>
      <c r="G83" s="2294"/>
      <c r="H83" s="2295"/>
      <c r="I83" s="2299" t="s">
        <v>54</v>
      </c>
      <c r="J83" s="2300"/>
      <c r="K83" s="2303" t="s">
        <v>74</v>
      </c>
      <c r="L83" s="2301" t="s">
        <v>56</v>
      </c>
      <c r="M83" s="2305"/>
      <c r="N83" s="2305"/>
      <c r="O83" s="2305"/>
      <c r="P83" s="2305"/>
      <c r="Q83" s="2302"/>
      <c r="R83" s="2"/>
      <c r="S83" s="11"/>
      <c r="T83" s="2007"/>
      <c r="U83" s="2007"/>
      <c r="V83" s="2007"/>
      <c r="W83" s="2007"/>
      <c r="X83" s="2007"/>
      <c r="Y83" s="2007"/>
      <c r="Z83" s="11"/>
      <c r="AA83" s="5"/>
      <c r="AB83" s="13"/>
      <c r="AC83" s="46"/>
      <c r="AD83" s="46"/>
      <c r="AE83" s="10"/>
    </row>
    <row r="84" spans="1:31" ht="22.5" x14ac:dyDescent="0.55000000000000004">
      <c r="A84" s="2290"/>
      <c r="B84" s="2291"/>
      <c r="C84" s="2292"/>
      <c r="D84" s="2296"/>
      <c r="E84" s="2297"/>
      <c r="F84" s="2297"/>
      <c r="G84" s="2297"/>
      <c r="H84" s="2298"/>
      <c r="I84" s="2301"/>
      <c r="J84" s="2302"/>
      <c r="K84" s="2304"/>
      <c r="L84" s="1942">
        <v>1</v>
      </c>
      <c r="M84" s="1942">
        <v>2</v>
      </c>
      <c r="N84" s="1942">
        <v>3</v>
      </c>
      <c r="O84" s="1942">
        <v>4</v>
      </c>
      <c r="P84" s="2306">
        <v>5</v>
      </c>
      <c r="Q84" s="2307"/>
      <c r="R84" s="2"/>
      <c r="S84" s="13"/>
      <c r="T84" s="2007"/>
      <c r="U84" s="2007"/>
      <c r="V84" s="2007"/>
      <c r="W84" s="2007"/>
      <c r="X84" s="2007"/>
      <c r="Y84" s="2007"/>
      <c r="Z84" s="13"/>
      <c r="AA84" s="5"/>
      <c r="AB84" s="13"/>
      <c r="AC84" s="46"/>
      <c r="AD84" s="46"/>
      <c r="AE84" s="2"/>
    </row>
    <row r="85" spans="1:31" ht="23.25" thickBot="1" x14ac:dyDescent="0.6">
      <c r="A85" s="2117" t="s">
        <v>1182</v>
      </c>
      <c r="B85" s="2115"/>
      <c r="C85" s="2115"/>
      <c r="D85" s="2115"/>
      <c r="E85" s="2115"/>
      <c r="F85" s="2115"/>
      <c r="G85" s="2115"/>
      <c r="H85" s="2116"/>
      <c r="I85" s="2284"/>
      <c r="J85" s="2263"/>
      <c r="K85" s="1938">
        <f>IF(AE40&lt;&gt;0,AE40,"")</f>
        <v>5</v>
      </c>
      <c r="L85" s="1618"/>
      <c r="M85" s="1618"/>
      <c r="N85" s="1618"/>
      <c r="O85" s="1618"/>
      <c r="P85" s="2330"/>
      <c r="Q85" s="2330"/>
      <c r="R85" s="6"/>
      <c r="S85" s="13"/>
      <c r="T85" s="2007"/>
      <c r="U85" s="2007"/>
      <c r="V85" s="2007"/>
      <c r="W85" s="2007"/>
      <c r="X85" s="2007"/>
      <c r="Y85" s="2007"/>
      <c r="Z85" s="13"/>
      <c r="AA85" s="15"/>
      <c r="AB85" s="11"/>
      <c r="AC85" s="3"/>
      <c r="AD85" s="3"/>
      <c r="AE85" s="6"/>
    </row>
    <row r="86" spans="1:31" ht="22.5" x14ac:dyDescent="0.55000000000000004">
      <c r="A86" s="2241" t="s">
        <v>1183</v>
      </c>
      <c r="B86" s="2241"/>
      <c r="C86" s="2241"/>
      <c r="D86" s="2242"/>
      <c r="E86" s="2243"/>
      <c r="F86" s="2243"/>
      <c r="G86" s="2243"/>
      <c r="H86" s="2243"/>
      <c r="I86" s="2254"/>
      <c r="J86" s="2254"/>
      <c r="K86" s="2252">
        <f>IF(AE40&lt;&gt;0,AE40,"")</f>
        <v>5</v>
      </c>
      <c r="L86" s="2250"/>
      <c r="M86" s="2250"/>
      <c r="N86" s="2250"/>
      <c r="O86" s="2250"/>
      <c r="P86" s="2246"/>
      <c r="Q86" s="2247"/>
      <c r="R86" s="6"/>
      <c r="S86" s="6"/>
      <c r="T86" s="6"/>
      <c r="U86" s="6"/>
      <c r="V86" s="6"/>
      <c r="W86" s="6"/>
      <c r="X86" s="6"/>
      <c r="Y86" s="6"/>
      <c r="Z86" s="6"/>
      <c r="AA86" s="15"/>
      <c r="AB86" s="11"/>
      <c r="AC86" s="3"/>
      <c r="AD86" s="3"/>
      <c r="AE86" s="6"/>
    </row>
    <row r="87" spans="1:31" ht="23.25" thickBot="1" x14ac:dyDescent="0.6">
      <c r="A87" s="2264" t="s">
        <v>1184</v>
      </c>
      <c r="B87" s="2264"/>
      <c r="C87" s="2264"/>
      <c r="D87" s="2244"/>
      <c r="E87" s="2245"/>
      <c r="F87" s="2245"/>
      <c r="G87" s="2245"/>
      <c r="H87" s="2245"/>
      <c r="I87" s="2255"/>
      <c r="J87" s="2255"/>
      <c r="K87" s="2253"/>
      <c r="L87" s="2251"/>
      <c r="M87" s="2251"/>
      <c r="N87" s="2251"/>
      <c r="O87" s="2251"/>
      <c r="P87" s="2248"/>
      <c r="Q87" s="2249"/>
      <c r="R87" s="6"/>
      <c r="S87" s="6"/>
      <c r="T87" s="6"/>
      <c r="U87" s="6"/>
      <c r="V87" s="6"/>
      <c r="W87" s="6"/>
      <c r="X87" s="6"/>
      <c r="Y87" s="6"/>
      <c r="Z87" s="6"/>
      <c r="AA87" s="15"/>
      <c r="AB87" s="11"/>
      <c r="AC87" s="3"/>
      <c r="AD87" s="3"/>
      <c r="AE87" s="6"/>
    </row>
    <row r="88" spans="1:31" ht="22.5" customHeight="1" x14ac:dyDescent="0.55000000000000004">
      <c r="A88" s="2112" t="s">
        <v>1185</v>
      </c>
      <c r="B88" s="2113"/>
      <c r="C88" s="2113"/>
      <c r="D88" s="2113"/>
      <c r="E88" s="2113"/>
      <c r="F88" s="2113"/>
      <c r="G88" s="2113"/>
      <c r="H88" s="2114"/>
      <c r="I88" s="2256"/>
      <c r="J88" s="2257"/>
      <c r="K88" s="2150">
        <f>IF(AH40&lt;&gt;0,AH40,"")</f>
        <v>10</v>
      </c>
      <c r="L88" s="1618"/>
      <c r="M88" s="1618"/>
      <c r="N88" s="1618"/>
      <c r="O88" s="1618"/>
      <c r="P88" s="2258"/>
      <c r="Q88" s="2259"/>
      <c r="R88" s="6"/>
      <c r="S88" s="2260"/>
      <c r="T88" s="2260"/>
      <c r="U88" s="2260"/>
      <c r="V88" s="2260"/>
      <c r="W88" s="2260"/>
      <c r="X88" s="2260"/>
      <c r="Y88" s="2260"/>
      <c r="Z88" s="2260"/>
      <c r="AA88" s="15"/>
      <c r="AB88" s="13"/>
      <c r="AC88" s="46"/>
      <c r="AD88" s="46"/>
      <c r="AE88" s="6"/>
    </row>
    <row r="89" spans="1:31" ht="23.25" thickBot="1" x14ac:dyDescent="0.6">
      <c r="A89" s="2160"/>
      <c r="B89" s="2161" t="s">
        <v>1180</v>
      </c>
      <c r="C89" s="2162"/>
      <c r="D89" s="2237"/>
      <c r="E89" s="2238"/>
      <c r="F89" s="2238"/>
      <c r="G89" s="2238"/>
      <c r="H89" s="2238"/>
      <c r="I89" s="2239"/>
      <c r="J89" s="2239"/>
      <c r="K89" s="2163">
        <f>IF(AF40&lt;&gt;0,AF40,"")</f>
        <v>5</v>
      </c>
      <c r="L89" s="2164"/>
      <c r="M89" s="2164"/>
      <c r="N89" s="2164"/>
      <c r="O89" s="2164"/>
      <c r="P89" s="2240"/>
      <c r="Q89" s="2240"/>
      <c r="R89" s="6"/>
      <c r="S89" s="31"/>
      <c r="T89" s="2232"/>
      <c r="U89" s="2232"/>
      <c r="V89" s="2232"/>
      <c r="W89" s="2232"/>
      <c r="X89" s="2232"/>
      <c r="Y89" s="2232"/>
      <c r="Z89" s="2007"/>
      <c r="AA89" s="15"/>
      <c r="AB89" s="13"/>
      <c r="AC89" s="46"/>
      <c r="AD89" s="46"/>
      <c r="AE89" s="6"/>
    </row>
    <row r="90" spans="1:31" ht="53.25" customHeight="1" thickBot="1" x14ac:dyDescent="0.6">
      <c r="A90" s="2227"/>
      <c r="B90" s="2227"/>
      <c r="C90" s="2227"/>
      <c r="D90" s="2228"/>
      <c r="E90" s="2229"/>
      <c r="F90" s="2229"/>
      <c r="G90" s="2229"/>
      <c r="H90" s="2229"/>
      <c r="I90" s="2230"/>
      <c r="J90" s="2230"/>
      <c r="K90" s="2171"/>
      <c r="L90" s="2172"/>
      <c r="M90" s="2172"/>
      <c r="N90" s="2172"/>
      <c r="O90" s="2172"/>
      <c r="P90" s="2231"/>
      <c r="Q90" s="2231"/>
      <c r="R90" s="6"/>
      <c r="S90" s="31"/>
      <c r="T90" s="2232"/>
      <c r="U90" s="2232"/>
      <c r="V90" s="2232"/>
      <c r="W90" s="2232"/>
      <c r="X90" s="2232"/>
      <c r="Y90" s="2232"/>
      <c r="Z90" s="2007"/>
      <c r="AA90" s="15"/>
      <c r="AB90" s="13"/>
      <c r="AC90" s="46"/>
      <c r="AD90" s="46"/>
      <c r="AE90" s="6"/>
    </row>
    <row r="91" spans="1:31" ht="23.25" thickBot="1" x14ac:dyDescent="0.6">
      <c r="A91" s="2165"/>
      <c r="B91" s="2170" t="s">
        <v>1186</v>
      </c>
      <c r="C91" s="2167"/>
      <c r="D91" s="2233"/>
      <c r="E91" s="2234"/>
      <c r="F91" s="2234"/>
      <c r="G91" s="2234"/>
      <c r="H91" s="2234"/>
      <c r="I91" s="2235"/>
      <c r="J91" s="2235"/>
      <c r="K91" s="2168">
        <f>IF(AG40&lt;&gt;0,AG40,"")</f>
        <v>5</v>
      </c>
      <c r="L91" s="2169"/>
      <c r="M91" s="2169"/>
      <c r="N91" s="2169"/>
      <c r="O91" s="2169"/>
      <c r="P91" s="2236"/>
      <c r="Q91" s="2236"/>
      <c r="R91" s="6"/>
      <c r="S91" s="31"/>
      <c r="T91" s="2232"/>
      <c r="U91" s="2232"/>
      <c r="V91" s="2232"/>
      <c r="W91" s="2232"/>
      <c r="X91" s="2232"/>
      <c r="Y91" s="2232"/>
      <c r="Z91" s="2007"/>
      <c r="AA91" s="15"/>
      <c r="AB91" s="13"/>
      <c r="AC91" s="46"/>
      <c r="AD91" s="46"/>
      <c r="AE91" s="6"/>
    </row>
    <row r="92" spans="1:31" ht="52.5" customHeight="1" thickBot="1" x14ac:dyDescent="0.6">
      <c r="A92" s="2227"/>
      <c r="B92" s="2227"/>
      <c r="C92" s="2227"/>
      <c r="D92" s="2228"/>
      <c r="E92" s="2229"/>
      <c r="F92" s="2229"/>
      <c r="G92" s="2229"/>
      <c r="H92" s="2229"/>
      <c r="I92" s="2230"/>
      <c r="J92" s="2230"/>
      <c r="K92" s="2171"/>
      <c r="L92" s="2172"/>
      <c r="M92" s="2172"/>
      <c r="N92" s="2172"/>
      <c r="O92" s="2172"/>
      <c r="P92" s="2231"/>
      <c r="Q92" s="2231"/>
      <c r="R92" s="6"/>
      <c r="S92" s="31"/>
      <c r="T92" s="2232"/>
      <c r="U92" s="2232"/>
      <c r="V92" s="2232"/>
      <c r="W92" s="2232"/>
      <c r="X92" s="2232"/>
      <c r="Y92" s="2232"/>
      <c r="Z92" s="2007"/>
      <c r="AA92" s="15"/>
      <c r="AB92" s="13"/>
      <c r="AC92" s="46"/>
      <c r="AD92" s="46"/>
      <c r="AE92" s="6"/>
    </row>
    <row r="93" spans="1:31" ht="9" customHeight="1" x14ac:dyDescent="0.55000000000000004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3"/>
      <c r="S93" s="3"/>
      <c r="T93" s="3"/>
      <c r="U93" s="3"/>
      <c r="V93" s="3"/>
      <c r="W93" s="3"/>
      <c r="X93" s="3"/>
      <c r="Y93" s="3"/>
      <c r="Z93" s="3"/>
      <c r="AA93" s="11"/>
      <c r="AB93" s="11"/>
      <c r="AC93" s="11"/>
      <c r="AD93" s="11"/>
    </row>
    <row r="94" spans="1:31" ht="22.5" x14ac:dyDescent="0.55000000000000004">
      <c r="A94" s="1604" t="s">
        <v>1086</v>
      </c>
      <c r="B94" s="1584"/>
      <c r="C94" s="1584"/>
      <c r="D94" s="1604"/>
      <c r="E94" s="1604"/>
      <c r="F94" s="1604"/>
      <c r="G94" s="1604"/>
      <c r="H94" s="1604"/>
      <c r="I94" s="1604"/>
      <c r="J94" s="1604"/>
      <c r="K94" s="1604"/>
      <c r="L94" s="1604"/>
      <c r="M94" s="1604"/>
      <c r="N94" s="1604"/>
      <c r="O94" s="1604"/>
      <c r="P94" s="3"/>
      <c r="Q94" s="2"/>
      <c r="R94" s="3"/>
      <c r="S94" s="3"/>
      <c r="T94" s="3"/>
      <c r="U94" s="3"/>
      <c r="V94" s="3"/>
      <c r="W94" s="3"/>
      <c r="X94" s="3"/>
      <c r="Y94" s="3"/>
      <c r="Z94" s="3"/>
      <c r="AA94" s="11"/>
      <c r="AB94" s="11"/>
      <c r="AC94" s="3"/>
      <c r="AD94" s="3"/>
    </row>
    <row r="95" spans="1:31" ht="22.5" x14ac:dyDescent="0.55000000000000004">
      <c r="A95" s="1604"/>
      <c r="B95" s="1876" t="s">
        <v>1092</v>
      </c>
      <c r="C95" s="1584"/>
      <c r="D95" s="1604"/>
      <c r="E95" s="1604"/>
      <c r="F95" s="1604"/>
      <c r="G95" s="1604"/>
      <c r="H95" s="1604"/>
      <c r="I95" s="1604"/>
      <c r="J95" s="1604"/>
      <c r="K95" s="1604"/>
      <c r="L95" s="1604"/>
      <c r="M95" s="1604"/>
      <c r="N95" s="1604"/>
      <c r="O95" s="1604"/>
      <c r="P95" s="3"/>
      <c r="Q95" s="2"/>
      <c r="R95" s="3"/>
      <c r="S95" s="3"/>
      <c r="T95" s="3"/>
      <c r="U95" s="3"/>
      <c r="V95" s="3"/>
      <c r="W95" s="3"/>
      <c r="X95" s="3"/>
      <c r="Y95" s="3"/>
      <c r="Z95" s="3"/>
      <c r="AA95" s="11"/>
      <c r="AB95" s="11"/>
      <c r="AC95" s="3"/>
      <c r="AD95" s="3"/>
    </row>
    <row r="96" spans="1:31" ht="22.5" x14ac:dyDescent="0.55000000000000004">
      <c r="A96" s="2029"/>
      <c r="B96" s="2268" t="s">
        <v>113</v>
      </c>
      <c r="C96" s="2271"/>
      <c r="D96" s="2269"/>
      <c r="E96" s="1877"/>
      <c r="F96" s="2270" t="s">
        <v>114</v>
      </c>
      <c r="G96" s="2270"/>
      <c r="H96" s="2270"/>
      <c r="I96" s="2270"/>
      <c r="J96" s="1877"/>
      <c r="K96" s="2270" t="s">
        <v>115</v>
      </c>
      <c r="L96" s="2270"/>
      <c r="M96" s="2270"/>
      <c r="N96" s="2270"/>
      <c r="O96" s="2270"/>
      <c r="P96" s="4"/>
      <c r="Q96" s="7"/>
      <c r="R96" s="5"/>
      <c r="S96" s="2265" t="s">
        <v>116</v>
      </c>
      <c r="T96" s="2266"/>
      <c r="U96" s="2266"/>
      <c r="V96" s="2266"/>
      <c r="W96" s="2266"/>
      <c r="X96" s="2266"/>
      <c r="Y96" s="2266"/>
      <c r="Z96" s="2267"/>
      <c r="AA96" s="5"/>
      <c r="AB96" s="47"/>
      <c r="AC96" s="9"/>
      <c r="AD96" s="9"/>
    </row>
    <row r="97" spans="1:30" ht="22.5" x14ac:dyDescent="0.55000000000000004">
      <c r="A97" s="2030"/>
      <c r="B97" s="2268" t="s">
        <v>117</v>
      </c>
      <c r="C97" s="2269"/>
      <c r="D97" s="1939" t="s">
        <v>118</v>
      </c>
      <c r="E97" s="1878"/>
      <c r="F97" s="2268" t="s">
        <v>117</v>
      </c>
      <c r="G97" s="2271"/>
      <c r="H97" s="2269"/>
      <c r="I97" s="1879" t="s">
        <v>118</v>
      </c>
      <c r="J97" s="1880"/>
      <c r="K97" s="2276" t="s">
        <v>117</v>
      </c>
      <c r="L97" s="2277"/>
      <c r="M97" s="2278"/>
      <c r="N97" s="2268" t="s">
        <v>118</v>
      </c>
      <c r="O97" s="2269"/>
      <c r="P97" s="9"/>
      <c r="Q97" s="7"/>
      <c r="R97" s="2"/>
      <c r="S97" s="1979"/>
      <c r="T97" s="1968" t="s">
        <v>119</v>
      </c>
      <c r="U97" s="1980"/>
      <c r="V97" s="1980"/>
      <c r="W97" s="1980"/>
      <c r="X97" s="1980"/>
      <c r="Y97" s="1980"/>
      <c r="Z97" s="1981"/>
      <c r="AA97" s="5"/>
      <c r="AB97" s="47"/>
      <c r="AC97" s="9"/>
      <c r="AD97" s="9"/>
    </row>
    <row r="98" spans="1:30" ht="21.75" customHeight="1" x14ac:dyDescent="0.5">
      <c r="A98" s="1587"/>
      <c r="B98" s="1951" t="s">
        <v>120</v>
      </c>
      <c r="C98" s="1952"/>
      <c r="D98" s="1622">
        <f>IF(AC25=0,IF(C11="อาจารย์",4,IF(C11="ผู้ช่วยศาสตราจารย์",4,IF(C11="รองศาสตราจารย์",4,IF(C11="ศาสตราจารย์",5,IF(C11="ผู้เชี่ยวชาญ",4,""))))),AC25)</f>
        <v>4</v>
      </c>
      <c r="E98" s="1587"/>
      <c r="F98" s="1951" t="s">
        <v>121</v>
      </c>
      <c r="G98" s="1881"/>
      <c r="H98" s="1952"/>
      <c r="I98" s="1623">
        <f>IF(C13="รองอธิการบดี","",IF(C11="อาจารย์",3,IF(C11="ผู้ช่วยศาสตราจารย์",4,IF(C11="รองศาสตราจารย์",4,IF(C11="ศาสตราจารย์",5,IF(C11="ผู้เชี่ยวชาญ",3,""))))))</f>
        <v>3</v>
      </c>
      <c r="J98" s="1586"/>
      <c r="K98" s="2279" t="s">
        <v>122</v>
      </c>
      <c r="L98" s="2280"/>
      <c r="M98" s="2281"/>
      <c r="N98" s="2282" t="str">
        <f>IF(AE25=0,"",AE25)</f>
        <v/>
      </c>
      <c r="O98" s="2283"/>
      <c r="P98" s="28"/>
      <c r="Q98" s="8"/>
      <c r="R98" s="7"/>
      <c r="S98" s="1982"/>
      <c r="T98" s="2261" t="s">
        <v>123</v>
      </c>
      <c r="U98" s="2261"/>
      <c r="V98" s="2261"/>
      <c r="W98" s="2261"/>
      <c r="X98" s="2261"/>
      <c r="Y98" s="2261"/>
      <c r="Z98" s="1971"/>
      <c r="AA98" s="16"/>
      <c r="AB98" s="48"/>
      <c r="AC98" s="28"/>
      <c r="AD98" s="28"/>
    </row>
    <row r="99" spans="1:30" ht="21.75" x14ac:dyDescent="0.5">
      <c r="A99" s="1587"/>
      <c r="B99" s="1954" t="s">
        <v>124</v>
      </c>
      <c r="C99" s="1954"/>
      <c r="D99" s="1624">
        <f>IF(AC27=0,IF(C11="อาจารย์",3,IF(C11="ผู้ช่วยศาสตราจารย์",4,IF(C11="รองศาสตราจารย์",4,IF(C11="ศาสตราจารย์",5,IF(C11="ผู้เชี่ยวชาญ",3,""))))),AC27)</f>
        <v>3</v>
      </c>
      <c r="E99" s="1587"/>
      <c r="F99" s="1954" t="s">
        <v>125</v>
      </c>
      <c r="G99" s="1882"/>
      <c r="H99" s="1955"/>
      <c r="I99" s="1625">
        <f>IF(C13="รองอธิการบดี","",IF(C11="อาจารย์",3,IF(C11="ผู้ช่วยศาสตราจารย์",4,IF(C11="รองศาสตราจารย์",4,IF(C11="ศาสตราจารย์",5,IF(C11="ผู้เชี่ยวชาญ",3,""))))))</f>
        <v>3</v>
      </c>
      <c r="J99" s="1586"/>
      <c r="K99" s="2413" t="s">
        <v>126</v>
      </c>
      <c r="L99" s="2414"/>
      <c r="M99" s="2415"/>
      <c r="N99" s="2274" t="str">
        <f>IF(AE27=0,"",AE27)</f>
        <v/>
      </c>
      <c r="O99" s="2275"/>
      <c r="P99" s="8"/>
      <c r="Q99" s="8"/>
      <c r="R99" s="7"/>
      <c r="S99" s="1982"/>
      <c r="T99" s="2261"/>
      <c r="U99" s="2261"/>
      <c r="V99" s="2261"/>
      <c r="W99" s="2261"/>
      <c r="X99" s="2261"/>
      <c r="Y99" s="2261"/>
      <c r="Z99" s="1971"/>
      <c r="AA99" s="16"/>
      <c r="AB99" s="48"/>
      <c r="AC99" s="28"/>
      <c r="AD99" s="28"/>
    </row>
    <row r="100" spans="1:30" ht="21.75" x14ac:dyDescent="0.5">
      <c r="A100" s="1587"/>
      <c r="B100" s="1954" t="s">
        <v>127</v>
      </c>
      <c r="C100" s="1954"/>
      <c r="D100" s="1624">
        <f>IF(AC28=0,IF(C11="อาจารย์",3,IF(C11="ผู้ช่วยศาสตราจารย์",4,IF(C11="รองศาสตราจารย์",4,IF(C11="ศาสตราจารย์",5,IF(C11="ผู้เชี่ยวชาญ",3,""))))),AC28)</f>
        <v>3</v>
      </c>
      <c r="E100" s="1587"/>
      <c r="F100" s="1954" t="s">
        <v>128</v>
      </c>
      <c r="G100" s="1882"/>
      <c r="H100" s="1955"/>
      <c r="I100" s="1625">
        <f>IF(C13="รองอธิการบดี","",IF(C11="อาจารย์",3,IF(C11="ผู้ช่วยศาสตราจารย์",4,IF(C11="รองศาสตราจารย์",4,IF(C11="ศาสตราจารย์",5,IF(C11="ผู้เชี่ยวชาญ",3,""))))))</f>
        <v>3</v>
      </c>
      <c r="J100" s="1586"/>
      <c r="K100" s="2413" t="s">
        <v>129</v>
      </c>
      <c r="L100" s="2414"/>
      <c r="M100" s="2415"/>
      <c r="N100" s="2274" t="str">
        <f>IF(AE28=0,"",AE28)</f>
        <v/>
      </c>
      <c r="O100" s="2275"/>
      <c r="P100" s="8"/>
      <c r="Q100" s="8"/>
      <c r="R100" s="8"/>
      <c r="S100" s="1982"/>
      <c r="T100" s="1994" t="s">
        <v>133</v>
      </c>
      <c r="U100" s="2008"/>
      <c r="V100" s="2008"/>
      <c r="W100" s="2008"/>
      <c r="X100" s="2008"/>
      <c r="Y100" s="2008"/>
      <c r="Z100" s="1971"/>
      <c r="AA100" s="17"/>
      <c r="AB100" s="48"/>
      <c r="AC100" s="28"/>
      <c r="AD100" s="28"/>
    </row>
    <row r="101" spans="1:30" ht="21.75" x14ac:dyDescent="0.5">
      <c r="A101" s="1587"/>
      <c r="B101" s="1954" t="s">
        <v>130</v>
      </c>
      <c r="C101" s="1954"/>
      <c r="D101" s="1624">
        <f>IF(AC29=0,IF(C11="อาจารย์",3,IF(C11="ผู้ช่วยศาสตราจารย์",4,IF(C11="รองศาสตราจารย์",4,IF(C11="ศาสตราจารย์",5,IF(C11="ผู้เชี่ยวชาญ",3,""))))),AC29)</f>
        <v>3</v>
      </c>
      <c r="E101" s="1587"/>
      <c r="F101" s="1954" t="s">
        <v>131</v>
      </c>
      <c r="G101" s="1882"/>
      <c r="H101" s="1955"/>
      <c r="I101" s="1625">
        <f>IF(C13="รองอธิการบดี","",IF(C11="อาจารย์",3,IF(C11="ผู้ช่วยศาสตราจารย์",4,IF(C11="รองศาสตราจารย์",5,IF(C11="ศาสตราจารย์",5,IF(C11="ผู้เชี่ยวชาญ",3,""))))))</f>
        <v>3</v>
      </c>
      <c r="J101" s="1586"/>
      <c r="K101" s="2413" t="s">
        <v>132</v>
      </c>
      <c r="L101" s="2414"/>
      <c r="M101" s="2415"/>
      <c r="N101" s="2274" t="str">
        <f>IF(AE29=0,"",AE29)</f>
        <v/>
      </c>
      <c r="O101" s="2275"/>
      <c r="P101" s="8"/>
      <c r="Q101" s="8"/>
      <c r="R101" s="8"/>
      <c r="S101" s="1982"/>
      <c r="T101" s="2261" t="s">
        <v>136</v>
      </c>
      <c r="U101" s="2261"/>
      <c r="V101" s="2261"/>
      <c r="W101" s="2261"/>
      <c r="X101" s="2261"/>
      <c r="Y101" s="2261"/>
      <c r="Z101" s="1971"/>
      <c r="AA101" s="17"/>
      <c r="AB101" s="48"/>
      <c r="AC101" s="28"/>
      <c r="AD101" s="28"/>
    </row>
    <row r="102" spans="1:30" ht="22.5" customHeight="1" x14ac:dyDescent="0.5">
      <c r="A102" s="1587"/>
      <c r="B102" s="1883" t="s">
        <v>134</v>
      </c>
      <c r="C102" s="1883"/>
      <c r="D102" s="1626">
        <f>IF(AC30=0,IF(C11="อาจารย์",3,IF(C11="ผู้ช่วยศาสตราจารย์",4,IF(C11="รองศาสตราจารย์",4,IF(C11="ศาสตราจารย์",5,IF(C11="ผู้เชี่ยวชาญ",3,""))))),AC30)</f>
        <v>3</v>
      </c>
      <c r="E102" s="1587"/>
      <c r="F102" s="1883" t="s">
        <v>135</v>
      </c>
      <c r="G102" s="1884"/>
      <c r="H102" s="1885"/>
      <c r="I102" s="1627">
        <f>IF(C13="รองอธิการบดี","",IF(C11="อาจารย์",4,IF(C11="ผู้ช่วยศาสตราจารย์",5,IF(C11="รองศาสตราจารย์",5,IF(C11="ศาสตราจารย์",5,IF(C11="ผู้เชี่ยวชาญ",4,""))))))</f>
        <v>4</v>
      </c>
      <c r="J102" s="1586"/>
      <c r="K102" s="1883"/>
      <c r="L102" s="1884"/>
      <c r="M102" s="1884"/>
      <c r="N102" s="2272"/>
      <c r="O102" s="2273"/>
      <c r="P102" s="8"/>
      <c r="Q102" s="8"/>
      <c r="R102" s="8"/>
      <c r="S102" s="2009"/>
      <c r="T102" s="2261"/>
      <c r="U102" s="2261"/>
      <c r="V102" s="2261"/>
      <c r="W102" s="2261"/>
      <c r="X102" s="2261"/>
      <c r="Y102" s="2261"/>
      <c r="Z102" s="2010"/>
      <c r="AA102" s="17"/>
      <c r="AB102" s="48"/>
      <c r="AC102" s="28"/>
      <c r="AD102" s="28"/>
    </row>
    <row r="103" spans="1:30" ht="9" customHeight="1" x14ac:dyDescent="0.5">
      <c r="A103" s="1621"/>
      <c r="B103" s="1628"/>
      <c r="C103" s="1621"/>
      <c r="D103" s="1621"/>
      <c r="E103" s="1621"/>
      <c r="F103" s="1628"/>
      <c r="G103" s="1621"/>
      <c r="H103" s="1621"/>
      <c r="I103" s="1621"/>
      <c r="J103" s="1621"/>
      <c r="K103" s="1621"/>
      <c r="L103" s="1621"/>
      <c r="M103" s="1621"/>
      <c r="N103" s="1621"/>
      <c r="O103" s="1621"/>
      <c r="P103" s="8"/>
      <c r="Q103" s="8"/>
      <c r="R103" s="8"/>
      <c r="S103" s="2011"/>
      <c r="T103" s="2012"/>
      <c r="U103" s="2012"/>
      <c r="V103" s="2012"/>
      <c r="W103" s="2012"/>
      <c r="X103" s="2012"/>
      <c r="Y103" s="2012"/>
      <c r="Z103" s="2013"/>
      <c r="AA103" s="17"/>
      <c r="AB103" s="48"/>
      <c r="AC103" s="28"/>
      <c r="AD103" s="28"/>
    </row>
    <row r="104" spans="1:30" ht="20.25" x14ac:dyDescent="0.5">
      <c r="A104" s="1621"/>
      <c r="B104" s="1632" t="s">
        <v>1093</v>
      </c>
      <c r="C104" s="1621"/>
      <c r="D104" s="1621"/>
      <c r="E104" s="1621"/>
      <c r="F104" s="1628"/>
      <c r="G104" s="1621"/>
      <c r="H104" s="1621"/>
      <c r="I104" s="1621"/>
      <c r="J104" s="1621"/>
      <c r="K104" s="1621"/>
      <c r="L104" s="1621"/>
      <c r="M104" s="1621"/>
      <c r="N104" s="1621"/>
      <c r="O104" s="1621"/>
      <c r="P104" s="8"/>
      <c r="Q104" s="8"/>
      <c r="R104" s="8"/>
      <c r="S104" s="2014"/>
      <c r="T104" s="2014"/>
      <c r="U104" s="2014"/>
      <c r="V104" s="2014"/>
      <c r="W104" s="2014"/>
      <c r="X104" s="2014"/>
      <c r="Y104" s="2014"/>
      <c r="Z104" s="2014"/>
      <c r="AA104" s="17"/>
      <c r="AB104" s="48"/>
      <c r="AC104" s="28"/>
      <c r="AD104" s="28"/>
    </row>
    <row r="105" spans="1:30" ht="20.25" x14ac:dyDescent="0.5">
      <c r="A105" s="1621"/>
      <c r="B105" s="2037"/>
      <c r="C105" s="2040" t="s">
        <v>1091</v>
      </c>
      <c r="D105" s="2038"/>
      <c r="E105" s="2038"/>
      <c r="F105" s="2039"/>
      <c r="G105" s="1639" t="s">
        <v>1094</v>
      </c>
      <c r="H105" s="2041" t="s">
        <v>448</v>
      </c>
      <c r="I105" s="2039" t="s">
        <v>1154</v>
      </c>
      <c r="J105" s="2037"/>
      <c r="K105" s="2038"/>
      <c r="L105" s="2038"/>
      <c r="M105" s="2038" t="s">
        <v>1095</v>
      </c>
      <c r="N105" s="2038"/>
      <c r="O105" s="2038"/>
      <c r="P105" s="2038"/>
      <c r="Q105" s="2039"/>
      <c r="R105" s="8"/>
      <c r="S105" s="2014"/>
      <c r="T105" s="2014"/>
      <c r="U105" s="2014"/>
      <c r="V105" s="2014"/>
      <c r="W105" s="2014"/>
      <c r="X105" s="2014"/>
      <c r="Y105" s="2014"/>
      <c r="Z105" s="2014"/>
      <c r="AA105" s="17"/>
      <c r="AB105" s="48"/>
      <c r="AC105" s="28"/>
      <c r="AD105" s="28"/>
    </row>
    <row r="106" spans="1:30" ht="20.25" x14ac:dyDescent="0.5">
      <c r="A106" s="1621"/>
      <c r="B106" s="2118" t="s">
        <v>1187</v>
      </c>
      <c r="C106" s="2119"/>
      <c r="D106" s="2119"/>
      <c r="E106" s="2119"/>
      <c r="F106" s="2120"/>
      <c r="G106" s="2121"/>
      <c r="H106" s="2419">
        <v>6</v>
      </c>
      <c r="I106" s="2420"/>
      <c r="J106" s="2122"/>
      <c r="K106" s="2123"/>
      <c r="L106" s="2123"/>
      <c r="M106" s="2123"/>
      <c r="N106" s="2123"/>
      <c r="O106" s="2123"/>
      <c r="P106" s="2123"/>
      <c r="Q106" s="2124"/>
      <c r="R106" s="8"/>
      <c r="S106" s="2014"/>
      <c r="T106" s="2014"/>
      <c r="U106" s="2014"/>
      <c r="V106" s="2014"/>
      <c r="W106" s="2014"/>
      <c r="X106" s="2014"/>
      <c r="Y106" s="2014"/>
      <c r="Z106" s="2014"/>
      <c r="AA106" s="17"/>
      <c r="AB106" s="48"/>
      <c r="AC106" s="28"/>
      <c r="AD106" s="28"/>
    </row>
    <row r="107" spans="1:30" ht="47.25" customHeight="1" x14ac:dyDescent="0.5">
      <c r="A107" s="1621"/>
      <c r="B107" s="2416"/>
      <c r="C107" s="2417"/>
      <c r="D107" s="2417"/>
      <c r="E107" s="2417"/>
      <c r="F107" s="2418"/>
      <c r="G107" s="2042"/>
      <c r="H107" s="2421"/>
      <c r="I107" s="2422"/>
      <c r="J107" s="2423"/>
      <c r="K107" s="2424"/>
      <c r="L107" s="2424"/>
      <c r="M107" s="2424"/>
      <c r="N107" s="2424"/>
      <c r="O107" s="2424"/>
      <c r="P107" s="2424"/>
      <c r="Q107" s="2425"/>
      <c r="R107" s="8"/>
      <c r="S107" s="2014"/>
      <c r="T107" s="2014"/>
      <c r="U107" s="2014"/>
      <c r="V107" s="2014"/>
      <c r="W107" s="2014"/>
      <c r="X107" s="2014"/>
      <c r="Y107" s="2014"/>
      <c r="Z107" s="2014"/>
      <c r="AA107" s="17"/>
      <c r="AB107" s="48"/>
      <c r="AC107" s="28"/>
      <c r="AD107" s="28"/>
    </row>
    <row r="108" spans="1:30" ht="20.25" x14ac:dyDescent="0.5">
      <c r="A108" s="1621"/>
      <c r="B108" s="2118" t="s">
        <v>1188</v>
      </c>
      <c r="C108" s="2119"/>
      <c r="D108" s="2119"/>
      <c r="E108" s="2119"/>
      <c r="F108" s="2120"/>
      <c r="G108" s="2121"/>
      <c r="H108" s="2419">
        <v>4</v>
      </c>
      <c r="I108" s="2420"/>
      <c r="J108" s="2122"/>
      <c r="K108" s="2123"/>
      <c r="L108" s="2123"/>
      <c r="M108" s="2123"/>
      <c r="N108" s="2123"/>
      <c r="O108" s="2123"/>
      <c r="P108" s="2123"/>
      <c r="Q108" s="2124"/>
      <c r="R108" s="8"/>
      <c r="S108" s="2014"/>
      <c r="T108" s="2014"/>
      <c r="U108" s="2014"/>
      <c r="V108" s="2014"/>
      <c r="W108" s="2014"/>
      <c r="X108" s="2014"/>
      <c r="Y108" s="2014"/>
      <c r="Z108" s="2014"/>
      <c r="AA108" s="17"/>
      <c r="AB108" s="48"/>
      <c r="AC108" s="28"/>
      <c r="AD108" s="28"/>
    </row>
    <row r="109" spans="1:30" ht="47.25" customHeight="1" x14ac:dyDescent="0.5">
      <c r="A109" s="1621"/>
      <c r="B109" s="2416"/>
      <c r="C109" s="2417"/>
      <c r="D109" s="2417"/>
      <c r="E109" s="2417"/>
      <c r="F109" s="2418"/>
      <c r="G109" s="2042"/>
      <c r="H109" s="2421"/>
      <c r="I109" s="2422"/>
      <c r="J109" s="2423"/>
      <c r="K109" s="2424"/>
      <c r="L109" s="2424"/>
      <c r="M109" s="2424"/>
      <c r="N109" s="2424"/>
      <c r="O109" s="2424"/>
      <c r="P109" s="2424"/>
      <c r="Q109" s="2425"/>
      <c r="R109" s="8"/>
      <c r="S109" s="2014"/>
      <c r="T109" s="2014"/>
      <c r="U109" s="2014"/>
      <c r="V109" s="2014"/>
      <c r="W109" s="2014"/>
      <c r="X109" s="2014"/>
      <c r="Y109" s="2014"/>
      <c r="Z109" s="2014"/>
      <c r="AA109" s="17"/>
      <c r="AB109" s="48"/>
      <c r="AC109" s="28"/>
      <c r="AD109" s="28"/>
    </row>
    <row r="110" spans="1:30" ht="6" customHeight="1" x14ac:dyDescent="0.5">
      <c r="A110" s="1621"/>
      <c r="B110" s="1628"/>
      <c r="C110" s="1621"/>
      <c r="D110" s="1621"/>
      <c r="E110" s="1621"/>
      <c r="F110" s="1628"/>
      <c r="G110" s="1621"/>
      <c r="H110" s="1621"/>
      <c r="I110" s="1621"/>
      <c r="J110" s="1621"/>
      <c r="K110" s="1621"/>
      <c r="L110" s="1621"/>
      <c r="M110" s="1621"/>
      <c r="N110" s="1621"/>
      <c r="O110" s="1621"/>
      <c r="P110" s="8"/>
      <c r="Q110" s="8"/>
      <c r="R110" s="8"/>
      <c r="S110" s="2014"/>
      <c r="T110" s="2014"/>
      <c r="U110" s="2014"/>
      <c r="V110" s="2014"/>
      <c r="W110" s="2014"/>
      <c r="X110" s="2014"/>
      <c r="Y110" s="2014"/>
      <c r="Z110" s="2014"/>
      <c r="AA110" s="17"/>
      <c r="AB110" s="48"/>
      <c r="AC110" s="28"/>
      <c r="AD110" s="28"/>
    </row>
    <row r="111" spans="1:30" ht="18.75" x14ac:dyDescent="0.3">
      <c r="A111" s="1619" t="s">
        <v>1133</v>
      </c>
      <c r="B111" s="1887"/>
      <c r="C111" s="1887"/>
      <c r="D111" s="1619"/>
      <c r="E111" s="1619"/>
      <c r="F111" s="1619"/>
      <c r="G111" s="1619"/>
      <c r="H111" s="1619"/>
      <c r="I111" s="1619"/>
      <c r="J111" s="1619"/>
      <c r="K111" s="1619"/>
      <c r="L111" s="1619"/>
      <c r="M111" s="1619"/>
      <c r="N111" s="1619"/>
      <c r="O111" s="1619"/>
      <c r="P111" s="1887"/>
      <c r="Q111" s="1887"/>
      <c r="R111" s="1521"/>
      <c r="S111" s="1521"/>
      <c r="T111" s="1521"/>
      <c r="U111" s="1521"/>
      <c r="V111" s="1521"/>
      <c r="W111" s="1521"/>
      <c r="X111" s="1521"/>
      <c r="Y111" s="1521"/>
      <c r="Z111" s="1521"/>
      <c r="AA111" s="1521"/>
      <c r="AB111" s="2015"/>
      <c r="AC111" s="2015"/>
      <c r="AD111" s="2015"/>
    </row>
    <row r="112" spans="1:30" ht="18.75" x14ac:dyDescent="0.3">
      <c r="A112" s="1619"/>
      <c r="B112" s="1631"/>
      <c r="C112" s="1887"/>
      <c r="D112" s="1633" t="s">
        <v>137</v>
      </c>
      <c r="E112" s="1619"/>
      <c r="F112" s="1634" t="s">
        <v>138</v>
      </c>
      <c r="G112" s="1619"/>
      <c r="H112" s="1619"/>
      <c r="I112" s="1619"/>
      <c r="J112" s="1619"/>
      <c r="K112" s="1619"/>
      <c r="L112" s="1619"/>
      <c r="M112" s="1619"/>
      <c r="N112" s="1619"/>
      <c r="O112" s="1619"/>
      <c r="P112" s="1887"/>
      <c r="Q112" s="1887"/>
      <c r="R112" s="1521"/>
      <c r="S112" s="1521"/>
      <c r="T112" s="1521"/>
      <c r="U112" s="1521"/>
      <c r="V112" s="1521"/>
      <c r="W112" s="1521"/>
      <c r="X112" s="1521"/>
      <c r="Y112" s="1521"/>
      <c r="Z112" s="1521"/>
      <c r="AA112" s="1521"/>
      <c r="AB112" s="2015"/>
      <c r="AC112" s="2015"/>
      <c r="AD112" s="2015"/>
    </row>
    <row r="113" spans="1:30" ht="18.75" x14ac:dyDescent="0.3">
      <c r="A113" s="1619"/>
      <c r="B113" s="1887"/>
      <c r="C113" s="1887"/>
      <c r="D113" s="1619"/>
      <c r="E113" s="1619"/>
      <c r="F113" s="2412" t="s">
        <v>139</v>
      </c>
      <c r="G113" s="2412"/>
      <c r="H113" s="2412"/>
      <c r="I113" s="2412"/>
      <c r="J113" s="2412"/>
      <c r="K113" s="2412"/>
      <c r="L113" s="2412"/>
      <c r="M113" s="2412"/>
      <c r="N113" s="2412"/>
      <c r="O113" s="2412"/>
      <c r="P113" s="2412"/>
      <c r="Q113" s="2412"/>
      <c r="R113" s="1521"/>
      <c r="S113" s="1521"/>
      <c r="T113" s="1521"/>
      <c r="U113" s="1521"/>
      <c r="V113" s="1521"/>
      <c r="W113" s="1521"/>
      <c r="X113" s="1521"/>
      <c r="Y113" s="1521"/>
      <c r="Z113" s="1521"/>
      <c r="AA113" s="1521"/>
      <c r="AB113" s="2015"/>
      <c r="AC113" s="2015"/>
      <c r="AD113" s="2015"/>
    </row>
    <row r="114" spans="1:30" ht="18.75" x14ac:dyDescent="0.3">
      <c r="A114" s="1619"/>
      <c r="B114" s="1887"/>
      <c r="C114" s="1887"/>
      <c r="D114" s="1619"/>
      <c r="E114" s="1619"/>
      <c r="F114" s="2412" t="s">
        <v>1087</v>
      </c>
      <c r="G114" s="2412"/>
      <c r="H114" s="2412"/>
      <c r="I114" s="2412"/>
      <c r="J114" s="2412"/>
      <c r="K114" s="2412"/>
      <c r="L114" s="2412"/>
      <c r="M114" s="2412"/>
      <c r="N114" s="2412"/>
      <c r="O114" s="2412"/>
      <c r="P114" s="2412"/>
      <c r="Q114" s="2412"/>
      <c r="R114" s="1521"/>
      <c r="S114" s="1521"/>
      <c r="T114" s="1521"/>
      <c r="U114" s="1521"/>
      <c r="V114" s="1521"/>
      <c r="W114" s="1521"/>
      <c r="X114" s="1521"/>
      <c r="Y114" s="1521"/>
      <c r="Z114" s="1521"/>
      <c r="AA114" s="1521"/>
      <c r="AB114" s="1521"/>
      <c r="AC114" s="1521"/>
      <c r="AD114" s="1521"/>
    </row>
    <row r="115" spans="1:30" ht="15" x14ac:dyDescent="0.25">
      <c r="A115" s="1887"/>
      <c r="B115" s="1887"/>
      <c r="C115" s="1887"/>
      <c r="D115" s="1887"/>
      <c r="E115" s="1887"/>
      <c r="F115" s="1635" t="s">
        <v>1088</v>
      </c>
      <c r="G115" s="1887"/>
      <c r="H115" s="1887"/>
      <c r="I115" s="1887"/>
      <c r="J115" s="1887"/>
      <c r="K115" s="1887"/>
      <c r="L115" s="1887"/>
      <c r="M115" s="1887"/>
      <c r="N115" s="1887"/>
      <c r="O115" s="1887"/>
      <c r="P115" s="1887"/>
      <c r="Q115" s="1887"/>
      <c r="R115" s="1521"/>
      <c r="S115" s="1521"/>
      <c r="T115" s="1521"/>
      <c r="U115" s="1521"/>
      <c r="V115" s="1521"/>
      <c r="W115" s="1521"/>
      <c r="X115" s="1521"/>
      <c r="Y115" s="1521"/>
      <c r="Z115" s="1521"/>
      <c r="AA115" s="1521"/>
      <c r="AB115" s="1521"/>
      <c r="AC115" s="1521"/>
      <c r="AD115" s="1521"/>
    </row>
    <row r="116" spans="1:30" ht="15" x14ac:dyDescent="0.25">
      <c r="A116" s="1886"/>
      <c r="B116" s="1886"/>
      <c r="C116" s="1886"/>
      <c r="D116" s="1886"/>
      <c r="E116" s="1635"/>
      <c r="F116" s="1635" t="s">
        <v>1089</v>
      </c>
      <c r="G116" s="1887"/>
      <c r="H116" s="1887"/>
      <c r="I116" s="1887"/>
      <c r="J116" s="1887"/>
      <c r="K116" s="1887"/>
      <c r="L116" s="1887"/>
      <c r="M116" s="1887"/>
      <c r="N116" s="1887"/>
      <c r="O116" s="1887"/>
      <c r="P116" s="1886"/>
      <c r="Q116" s="1886"/>
    </row>
    <row r="117" spans="1:30" ht="15" x14ac:dyDescent="0.25">
      <c r="A117" s="1886"/>
      <c r="B117" s="1886"/>
      <c r="C117" s="1886"/>
      <c r="D117" s="1886"/>
      <c r="E117" s="1887"/>
      <c r="F117" s="1887"/>
      <c r="G117" s="1887"/>
      <c r="H117" s="1887"/>
      <c r="I117" s="1887"/>
      <c r="J117" s="1887"/>
      <c r="K117" s="1887"/>
      <c r="L117" s="1887"/>
      <c r="M117" s="1887"/>
      <c r="N117" s="1887"/>
      <c r="O117" s="1887"/>
      <c r="P117" s="1886"/>
      <c r="Q117" s="1886"/>
    </row>
    <row r="118" spans="1:30" ht="18.75" x14ac:dyDescent="0.3">
      <c r="A118" s="1886"/>
      <c r="B118" s="1886"/>
      <c r="C118" s="1886"/>
      <c r="D118" s="1886"/>
      <c r="E118" s="1887"/>
      <c r="F118" s="1887"/>
      <c r="G118" s="1887"/>
      <c r="H118" s="1636" t="s">
        <v>140</v>
      </c>
      <c r="I118" s="1637" t="s">
        <v>141</v>
      </c>
      <c r="J118" s="1637"/>
      <c r="K118" s="1637"/>
      <c r="L118" s="1620"/>
      <c r="M118" s="1620" t="s">
        <v>142</v>
      </c>
      <c r="N118" s="1620"/>
      <c r="O118" s="1620"/>
      <c r="P118" s="1886"/>
      <c r="Q118" s="1886"/>
    </row>
    <row r="119" spans="1:30" ht="18.75" x14ac:dyDescent="0.3">
      <c r="A119" s="1886"/>
      <c r="B119" s="1886"/>
      <c r="C119" s="1886"/>
      <c r="D119" s="1886"/>
      <c r="E119" s="1887"/>
      <c r="F119" s="1887"/>
      <c r="G119" s="1887"/>
      <c r="H119" s="1620"/>
      <c r="I119" s="2411" t="str">
        <f>"("&amp;C9&amp;")"</f>
        <v>()</v>
      </c>
      <c r="J119" s="2411"/>
      <c r="K119" s="2411"/>
      <c r="L119" s="2411"/>
      <c r="M119" s="1620"/>
      <c r="N119" s="1620"/>
      <c r="O119" s="1620"/>
      <c r="P119" s="1886"/>
      <c r="Q119" s="1886"/>
    </row>
    <row r="120" spans="1:30" ht="18.75" x14ac:dyDescent="0.3">
      <c r="A120" s="1886"/>
      <c r="B120" s="1886"/>
      <c r="C120" s="1886"/>
      <c r="D120" s="1886"/>
      <c r="E120" s="1887"/>
      <c r="F120" s="1887"/>
      <c r="G120" s="1887"/>
      <c r="H120" s="1620"/>
      <c r="I120" s="2411" t="s">
        <v>143</v>
      </c>
      <c r="J120" s="2411"/>
      <c r="K120" s="2411"/>
      <c r="L120" s="2411"/>
      <c r="M120" s="1620"/>
      <c r="N120" s="1620"/>
      <c r="O120" s="1620"/>
      <c r="P120" s="1886"/>
      <c r="Q120" s="1886"/>
    </row>
    <row r="121" spans="1:30" ht="18.75" x14ac:dyDescent="0.3">
      <c r="A121" s="1886"/>
      <c r="B121" s="1886"/>
      <c r="C121" s="1886"/>
      <c r="D121" s="1886"/>
      <c r="E121" s="1887"/>
      <c r="F121" s="1887"/>
      <c r="G121" s="1887"/>
      <c r="H121" s="1620"/>
      <c r="I121" s="1947"/>
      <c r="J121" s="1947"/>
      <c r="K121" s="1947"/>
      <c r="L121" s="1620"/>
      <c r="M121" s="1620"/>
      <c r="N121" s="1620"/>
      <c r="O121" s="1620"/>
      <c r="P121" s="1886"/>
      <c r="Q121" s="1886"/>
    </row>
    <row r="122" spans="1:30" ht="18.75" x14ac:dyDescent="0.3">
      <c r="A122" s="1886"/>
      <c r="B122" s="1886"/>
      <c r="C122" s="1886"/>
      <c r="D122" s="1886"/>
      <c r="E122" s="1887"/>
      <c r="F122" s="1887"/>
      <c r="G122" s="1887"/>
      <c r="H122" s="1636" t="s">
        <v>140</v>
      </c>
      <c r="I122" s="1637" t="s">
        <v>141</v>
      </c>
      <c r="J122" s="1637"/>
      <c r="K122" s="1637"/>
      <c r="L122" s="1620"/>
      <c r="M122" s="1620" t="s">
        <v>144</v>
      </c>
      <c r="N122" s="1620"/>
      <c r="O122" s="1620"/>
      <c r="P122" s="1886"/>
      <c r="Q122" s="1886"/>
    </row>
    <row r="123" spans="1:30" ht="18.75" x14ac:dyDescent="0.3">
      <c r="A123" s="1886"/>
      <c r="B123" s="1886"/>
      <c r="C123" s="1886"/>
      <c r="D123" s="1886"/>
      <c r="E123" s="1887"/>
      <c r="F123" s="1887"/>
      <c r="G123" s="1887"/>
      <c r="H123" s="1620"/>
      <c r="I123" s="2391" t="s">
        <v>145</v>
      </c>
      <c r="J123" s="2391"/>
      <c r="K123" s="2391"/>
      <c r="L123" s="2391"/>
      <c r="M123" s="1620"/>
      <c r="N123" s="1620"/>
      <c r="O123" s="1620"/>
      <c r="P123" s="1886"/>
      <c r="Q123" s="1886"/>
    </row>
    <row r="124" spans="1:30" ht="18.75" x14ac:dyDescent="0.3">
      <c r="A124" s="1886"/>
      <c r="B124" s="1886"/>
      <c r="C124" s="1886"/>
      <c r="D124" s="1886"/>
      <c r="E124" s="1887"/>
      <c r="F124" s="1887"/>
      <c r="G124" s="1887"/>
      <c r="H124" s="1636" t="s">
        <v>34</v>
      </c>
      <c r="I124" s="2391" t="s">
        <v>146</v>
      </c>
      <c r="J124" s="2391"/>
      <c r="K124" s="2391"/>
      <c r="L124" s="2391"/>
      <c r="M124" s="1620"/>
      <c r="N124" s="1620"/>
      <c r="O124" s="1620"/>
      <c r="P124" s="1886"/>
      <c r="Q124" s="1886"/>
    </row>
    <row r="125" spans="1:30" ht="18.75" x14ac:dyDescent="0.3">
      <c r="A125" s="1886"/>
      <c r="B125" s="1886"/>
      <c r="C125" s="1886"/>
      <c r="D125" s="1886"/>
      <c r="E125" s="1887"/>
      <c r="F125" s="1887"/>
      <c r="G125" s="1887"/>
      <c r="H125" s="1620"/>
      <c r="I125" s="1637" t="s">
        <v>147</v>
      </c>
      <c r="J125" s="1637"/>
      <c r="K125" s="1637"/>
      <c r="L125" s="1620"/>
      <c r="M125" s="1620"/>
      <c r="N125" s="1620"/>
      <c r="O125" s="1620"/>
      <c r="P125" s="1886"/>
      <c r="Q125" s="1886"/>
    </row>
    <row r="126" spans="1:30" ht="21" x14ac:dyDescent="0.35">
      <c r="A126" s="1886"/>
      <c r="B126" s="1886"/>
      <c r="C126" s="1886"/>
      <c r="D126" s="1886"/>
      <c r="E126" s="1887"/>
      <c r="F126" s="1887"/>
      <c r="G126" s="1887"/>
      <c r="H126" s="1887"/>
      <c r="I126" s="1638"/>
      <c r="J126" s="1638"/>
      <c r="K126" s="1638"/>
      <c r="L126" s="1887"/>
      <c r="M126" s="1887"/>
      <c r="N126" s="1887"/>
      <c r="O126" s="1887"/>
      <c r="P126" s="1886"/>
      <c r="Q126" s="1886"/>
    </row>
    <row r="127" spans="1:30" ht="18.75" x14ac:dyDescent="0.3">
      <c r="A127" s="1886"/>
      <c r="B127" s="1886"/>
      <c r="C127" s="1886"/>
      <c r="D127" s="1886"/>
      <c r="E127" s="1887"/>
      <c r="F127" s="1887"/>
      <c r="G127" s="1887"/>
      <c r="H127" s="1636" t="s">
        <v>140</v>
      </c>
      <c r="I127" s="1637" t="s">
        <v>141</v>
      </c>
      <c r="J127" s="1637"/>
      <c r="K127" s="1637"/>
      <c r="L127" s="1620"/>
      <c r="M127" s="1620" t="s">
        <v>148</v>
      </c>
      <c r="N127" s="1620"/>
      <c r="O127" s="1620"/>
      <c r="P127" s="1886"/>
      <c r="Q127" s="1886"/>
    </row>
    <row r="128" spans="1:30" ht="18.75" x14ac:dyDescent="0.3">
      <c r="A128" s="1886"/>
      <c r="B128" s="1886"/>
      <c r="C128" s="1886"/>
      <c r="D128" s="1886"/>
      <c r="E128" s="1887"/>
      <c r="F128" s="1887"/>
      <c r="G128" s="1887"/>
      <c r="H128" s="1620"/>
      <c r="I128" s="2391" t="s">
        <v>145</v>
      </c>
      <c r="J128" s="2391"/>
      <c r="K128" s="2391"/>
      <c r="L128" s="2391"/>
      <c r="M128" s="1620"/>
      <c r="N128" s="1620"/>
      <c r="O128" s="1620"/>
      <c r="P128" s="1886"/>
      <c r="Q128" s="1886"/>
    </row>
    <row r="129" spans="1:17" ht="18.75" x14ac:dyDescent="0.3">
      <c r="A129" s="1886"/>
      <c r="B129" s="1886"/>
      <c r="C129" s="1886"/>
      <c r="D129" s="1886"/>
      <c r="E129" s="1887"/>
      <c r="F129" s="1887"/>
      <c r="G129" s="1887"/>
      <c r="H129" s="1636" t="s">
        <v>34</v>
      </c>
      <c r="I129" s="2391" t="s">
        <v>146</v>
      </c>
      <c r="J129" s="2391"/>
      <c r="K129" s="2391"/>
      <c r="L129" s="2391"/>
      <c r="M129" s="1620"/>
      <c r="N129" s="1620"/>
      <c r="O129" s="1620"/>
      <c r="P129" s="1886"/>
      <c r="Q129" s="1886"/>
    </row>
    <row r="130" spans="1:17" ht="18.75" x14ac:dyDescent="0.3">
      <c r="A130" s="1886"/>
      <c r="B130" s="1886"/>
      <c r="C130" s="1886"/>
      <c r="D130" s="1886"/>
      <c r="E130" s="1887"/>
      <c r="F130" s="1887"/>
      <c r="G130" s="1887"/>
      <c r="H130" s="1620"/>
      <c r="I130" s="1637" t="s">
        <v>147</v>
      </c>
      <c r="J130" s="1637"/>
      <c r="K130" s="1637"/>
      <c r="L130" s="1620"/>
      <c r="M130" s="1620"/>
      <c r="N130" s="1620"/>
      <c r="O130" s="1620"/>
      <c r="P130" s="1886"/>
      <c r="Q130" s="1886"/>
    </row>
  </sheetData>
  <sheetProtection password="DED6" sheet="1" objects="1" scenarios="1" formatCells="0" formatColumns="0" formatRows="0" insertColumns="0" insertRows="0" insertHyperlinks="0" deleteColumns="0" deleteRows="0"/>
  <mergeCells count="289">
    <mergeCell ref="B72:C72"/>
    <mergeCell ref="A76:C77"/>
    <mergeCell ref="D76:H77"/>
    <mergeCell ref="T47:Y47"/>
    <mergeCell ref="D48:H48"/>
    <mergeCell ref="I47:J47"/>
    <mergeCell ref="I48:J48"/>
    <mergeCell ref="I71:J71"/>
    <mergeCell ref="I68:J68"/>
    <mergeCell ref="I72:J72"/>
    <mergeCell ref="I73:J73"/>
    <mergeCell ref="I74:J74"/>
    <mergeCell ref="B68:C68"/>
    <mergeCell ref="O47:Q47"/>
    <mergeCell ref="A50:A51"/>
    <mergeCell ref="I52:J52"/>
    <mergeCell ref="A52:A53"/>
    <mergeCell ref="B53:C53"/>
    <mergeCell ref="K52:K53"/>
    <mergeCell ref="D49:H49"/>
    <mergeCell ref="K50:K51"/>
    <mergeCell ref="A48:A49"/>
    <mergeCell ref="B49:C49"/>
    <mergeCell ref="I49:J49"/>
    <mergeCell ref="AD20:AE20"/>
    <mergeCell ref="AQ20:AR20"/>
    <mergeCell ref="AQ22:AR22"/>
    <mergeCell ref="S37:Z37"/>
    <mergeCell ref="D34:J34"/>
    <mergeCell ref="A35:Q35"/>
    <mergeCell ref="B36:Q36"/>
    <mergeCell ref="AF20:AG20"/>
    <mergeCell ref="AB22:AC22"/>
    <mergeCell ref="AD22:AE22"/>
    <mergeCell ref="AF22:AG22"/>
    <mergeCell ref="AK20:AO20"/>
    <mergeCell ref="AK22:AO22"/>
    <mergeCell ref="T30:Y31"/>
    <mergeCell ref="B34:C34"/>
    <mergeCell ref="AB20:AC20"/>
    <mergeCell ref="S28:Z28"/>
    <mergeCell ref="A29:C30"/>
    <mergeCell ref="D29:H30"/>
    <mergeCell ref="I29:J30"/>
    <mergeCell ref="K29:K30"/>
    <mergeCell ref="L29:Q29"/>
    <mergeCell ref="D31:H31"/>
    <mergeCell ref="A31:C31"/>
    <mergeCell ref="B40:C40"/>
    <mergeCell ref="B41:C41"/>
    <mergeCell ref="I43:J43"/>
    <mergeCell ref="B42:C42"/>
    <mergeCell ref="D39:H39"/>
    <mergeCell ref="B44:Q44"/>
    <mergeCell ref="D40:H40"/>
    <mergeCell ref="T39:Y39"/>
    <mergeCell ref="T41:Y41"/>
    <mergeCell ref="I42:J42"/>
    <mergeCell ref="L43:Q43"/>
    <mergeCell ref="D41:H41"/>
    <mergeCell ref="I41:J41"/>
    <mergeCell ref="I40:J40"/>
    <mergeCell ref="I39:J39"/>
    <mergeCell ref="T40:Z40"/>
    <mergeCell ref="K48:K49"/>
    <mergeCell ref="B51:C51"/>
    <mergeCell ref="D52:H52"/>
    <mergeCell ref="B52:C52"/>
    <mergeCell ref="I51:J51"/>
    <mergeCell ref="I50:J50"/>
    <mergeCell ref="B50:C50"/>
    <mergeCell ref="D50:H50"/>
    <mergeCell ref="L45:Q46"/>
    <mergeCell ref="B48:C48"/>
    <mergeCell ref="A45:C46"/>
    <mergeCell ref="I45:J46"/>
    <mergeCell ref="D45:H46"/>
    <mergeCell ref="K45:K46"/>
    <mergeCell ref="T45:Y45"/>
    <mergeCell ref="D42:H42"/>
    <mergeCell ref="A5:Q5"/>
    <mergeCell ref="B21:Q21"/>
    <mergeCell ref="B22:Q22"/>
    <mergeCell ref="B23:P23"/>
    <mergeCell ref="D37:H38"/>
    <mergeCell ref="L37:Q37"/>
    <mergeCell ref="A37:C38"/>
    <mergeCell ref="I37:J38"/>
    <mergeCell ref="K37:K38"/>
    <mergeCell ref="J17:P17"/>
    <mergeCell ref="J9:P9"/>
    <mergeCell ref="J11:P11"/>
    <mergeCell ref="J15:P15"/>
    <mergeCell ref="A28:Q28"/>
    <mergeCell ref="P30:Q30"/>
    <mergeCell ref="C9:G9"/>
    <mergeCell ref="C11:G11"/>
    <mergeCell ref="C15:G15"/>
    <mergeCell ref="C13:G13"/>
    <mergeCell ref="A6:Q6"/>
    <mergeCell ref="D32:H32"/>
    <mergeCell ref="B39:C39"/>
    <mergeCell ref="I129:L129"/>
    <mergeCell ref="I119:L119"/>
    <mergeCell ref="I120:L120"/>
    <mergeCell ref="I124:L124"/>
    <mergeCell ref="F114:Q114"/>
    <mergeCell ref="F113:Q113"/>
    <mergeCell ref="K101:M101"/>
    <mergeCell ref="I123:L123"/>
    <mergeCell ref="K99:M99"/>
    <mergeCell ref="K100:M100"/>
    <mergeCell ref="B109:F109"/>
    <mergeCell ref="B107:F107"/>
    <mergeCell ref="H106:I106"/>
    <mergeCell ref="H107:I107"/>
    <mergeCell ref="H109:I109"/>
    <mergeCell ref="H108:I108"/>
    <mergeCell ref="J107:Q107"/>
    <mergeCell ref="J109:Q109"/>
    <mergeCell ref="I59:J59"/>
    <mergeCell ref="I55:J56"/>
    <mergeCell ref="I54:J54"/>
    <mergeCell ref="B59:C59"/>
    <mergeCell ref="D59:H59"/>
    <mergeCell ref="I58:J58"/>
    <mergeCell ref="I57:J57"/>
    <mergeCell ref="D60:H60"/>
    <mergeCell ref="I128:L128"/>
    <mergeCell ref="B71:C71"/>
    <mergeCell ref="L73:Q74"/>
    <mergeCell ref="I60:J60"/>
    <mergeCell ref="I61:J61"/>
    <mergeCell ref="B60:C60"/>
    <mergeCell ref="D61:H61"/>
    <mergeCell ref="D66:H66"/>
    <mergeCell ref="I66:J66"/>
    <mergeCell ref="I65:J65"/>
    <mergeCell ref="I76:J77"/>
    <mergeCell ref="A69:C70"/>
    <mergeCell ref="D69:H70"/>
    <mergeCell ref="I69:J70"/>
    <mergeCell ref="K69:K70"/>
    <mergeCell ref="I67:J67"/>
    <mergeCell ref="I53:J53"/>
    <mergeCell ref="B54:C54"/>
    <mergeCell ref="D54:H54"/>
    <mergeCell ref="D57:H57"/>
    <mergeCell ref="D55:H56"/>
    <mergeCell ref="D53:H53"/>
    <mergeCell ref="A55:C56"/>
    <mergeCell ref="B57:C57"/>
    <mergeCell ref="K55:K56"/>
    <mergeCell ref="AD62:AD66"/>
    <mergeCell ref="T57:Y57"/>
    <mergeCell ref="L68:Q68"/>
    <mergeCell ref="AD50:AD51"/>
    <mergeCell ref="AD71:AD72"/>
    <mergeCell ref="AB50:AB51"/>
    <mergeCell ref="AB52:AB53"/>
    <mergeCell ref="T52:Y52"/>
    <mergeCell ref="K60:K61"/>
    <mergeCell ref="L69:Q70"/>
    <mergeCell ref="D68:H68"/>
    <mergeCell ref="P77:Q77"/>
    <mergeCell ref="L76:Q76"/>
    <mergeCell ref="P85:Q85"/>
    <mergeCell ref="D79:H79"/>
    <mergeCell ref="C17:G17"/>
    <mergeCell ref="AB48:AB49"/>
    <mergeCell ref="AD48:AD49"/>
    <mergeCell ref="AB71:AB72"/>
    <mergeCell ref="L60:Q60"/>
    <mergeCell ref="L59:Q59"/>
    <mergeCell ref="AD52:AD53"/>
    <mergeCell ref="T53:Y53"/>
    <mergeCell ref="S51:Z51"/>
    <mergeCell ref="L57:Q57"/>
    <mergeCell ref="L54:Q54"/>
    <mergeCell ref="L52:Q52"/>
    <mergeCell ref="L50:Q50"/>
    <mergeCell ref="L55:Q56"/>
    <mergeCell ref="L48:Q48"/>
    <mergeCell ref="P58:Q58"/>
    <mergeCell ref="P67:Q67"/>
    <mergeCell ref="T49:Y49"/>
    <mergeCell ref="T48:Y48"/>
    <mergeCell ref="A71:A72"/>
    <mergeCell ref="A83:C84"/>
    <mergeCell ref="D83:H84"/>
    <mergeCell ref="I83:J84"/>
    <mergeCell ref="K83:K84"/>
    <mergeCell ref="L83:Q83"/>
    <mergeCell ref="P84:Q84"/>
    <mergeCell ref="J14:P14"/>
    <mergeCell ref="J13:P13"/>
    <mergeCell ref="I64:J64"/>
    <mergeCell ref="I63:J63"/>
    <mergeCell ref="I62:J62"/>
    <mergeCell ref="D62:H62"/>
    <mergeCell ref="D63:H63"/>
    <mergeCell ref="D64:H64"/>
    <mergeCell ref="D65:H65"/>
    <mergeCell ref="I79:J79"/>
    <mergeCell ref="D71:H71"/>
    <mergeCell ref="P79:Q79"/>
    <mergeCell ref="K71:K72"/>
    <mergeCell ref="L71:Q71"/>
    <mergeCell ref="D72:H72"/>
    <mergeCell ref="A75:Q75"/>
    <mergeCell ref="K76:K77"/>
    <mergeCell ref="T98:Y99"/>
    <mergeCell ref="T101:Y102"/>
    <mergeCell ref="P78:Q78"/>
    <mergeCell ref="I78:J78"/>
    <mergeCell ref="A87:C87"/>
    <mergeCell ref="S96:Z96"/>
    <mergeCell ref="N97:O97"/>
    <mergeCell ref="F96:I96"/>
    <mergeCell ref="F97:H97"/>
    <mergeCell ref="B97:C97"/>
    <mergeCell ref="B96:D96"/>
    <mergeCell ref="K96:O96"/>
    <mergeCell ref="T79:Y79"/>
    <mergeCell ref="S78:Z78"/>
    <mergeCell ref="N102:O102"/>
    <mergeCell ref="N101:O101"/>
    <mergeCell ref="N100:O100"/>
    <mergeCell ref="N99:O99"/>
    <mergeCell ref="K97:M97"/>
    <mergeCell ref="K98:M98"/>
    <mergeCell ref="N98:O98"/>
    <mergeCell ref="I85:J85"/>
    <mergeCell ref="A80:C80"/>
    <mergeCell ref="D80:H80"/>
    <mergeCell ref="I80:J80"/>
    <mergeCell ref="P80:Q80"/>
    <mergeCell ref="T80:Y80"/>
    <mergeCell ref="D81:H81"/>
    <mergeCell ref="I81:J81"/>
    <mergeCell ref="P81:Q81"/>
    <mergeCell ref="T81:Y81"/>
    <mergeCell ref="I88:J88"/>
    <mergeCell ref="P88:Q88"/>
    <mergeCell ref="S88:Z88"/>
    <mergeCell ref="D89:H89"/>
    <mergeCell ref="I89:J89"/>
    <mergeCell ref="P89:Q89"/>
    <mergeCell ref="T89:Y89"/>
    <mergeCell ref="A82:C82"/>
    <mergeCell ref="D82:H82"/>
    <mergeCell ref="I82:J82"/>
    <mergeCell ref="P82:Q82"/>
    <mergeCell ref="T82:Y82"/>
    <mergeCell ref="A86:C86"/>
    <mergeCell ref="D86:H87"/>
    <mergeCell ref="P86:Q87"/>
    <mergeCell ref="O86:O87"/>
    <mergeCell ref="N86:N87"/>
    <mergeCell ref="M86:M87"/>
    <mergeCell ref="L86:L87"/>
    <mergeCell ref="K86:K87"/>
    <mergeCell ref="I86:J87"/>
    <mergeCell ref="A92:C92"/>
    <mergeCell ref="D92:H92"/>
    <mergeCell ref="I92:J92"/>
    <mergeCell ref="P92:Q92"/>
    <mergeCell ref="T92:Y92"/>
    <mergeCell ref="A90:C90"/>
    <mergeCell ref="D90:H90"/>
    <mergeCell ref="I90:J90"/>
    <mergeCell ref="P90:Q90"/>
    <mergeCell ref="T90:Y90"/>
    <mergeCell ref="D91:H91"/>
    <mergeCell ref="I91:J91"/>
    <mergeCell ref="P91:Q91"/>
    <mergeCell ref="T91:Y91"/>
    <mergeCell ref="AB38:AD38"/>
    <mergeCell ref="AF38:AH38"/>
    <mergeCell ref="A32:C32"/>
    <mergeCell ref="A33:C33"/>
    <mergeCell ref="D33:H33"/>
    <mergeCell ref="I33:J33"/>
    <mergeCell ref="I32:J32"/>
    <mergeCell ref="I31:J31"/>
    <mergeCell ref="L33:Q33"/>
    <mergeCell ref="L32:Q32"/>
    <mergeCell ref="L31:Q31"/>
    <mergeCell ref="L34:Q34"/>
  </mergeCells>
  <conditionalFormatting sqref="I43:Q43">
    <cfRule type="cellIs" dxfId="34" priority="14" operator="lessThan">
      <formula>$AD$11</formula>
    </cfRule>
  </conditionalFormatting>
  <conditionalFormatting sqref="L43:Q43">
    <cfRule type="expression" dxfId="33" priority="6">
      <formula>($I$43&gt;$AD$11)</formula>
    </cfRule>
    <cfRule type="expression" dxfId="32" priority="9">
      <formula>($I$43=$AD$11)</formula>
    </cfRule>
    <cfRule type="expression" dxfId="31" priority="13">
      <formula>($I$43&lt;$AD$11)</formula>
    </cfRule>
  </conditionalFormatting>
  <conditionalFormatting sqref="I43:K43">
    <cfRule type="cellIs" dxfId="30" priority="12" operator="equal">
      <formula>$AD$11</formula>
    </cfRule>
  </conditionalFormatting>
  <conditionalFormatting sqref="K43">
    <cfRule type="cellIs" dxfId="29" priority="7" operator="greaterThan">
      <formula>$AF$15</formula>
    </cfRule>
    <cfRule type="cellIs" dxfId="28" priority="10" operator="equal">
      <formula>$AF$15</formula>
    </cfRule>
    <cfRule type="cellIs" dxfId="27" priority="11" operator="lessThan">
      <formula>$AF$15</formula>
    </cfRule>
  </conditionalFormatting>
  <conditionalFormatting sqref="I43:J43">
    <cfRule type="cellIs" dxfId="26" priority="8" operator="greaterThan">
      <formula>$AD$11</formula>
    </cfRule>
  </conditionalFormatting>
  <conditionalFormatting sqref="I74:K74">
    <cfRule type="expression" dxfId="25" priority="3">
      <formula>($I$74&lt;&gt;"")</formula>
    </cfRule>
  </conditionalFormatting>
  <dataValidations count="7">
    <dataValidation type="list" allowBlank="1" showInputMessage="1" showErrorMessage="1" sqref="J11:P11" xr:uid="{00000000-0002-0000-0100-000000000000}">
      <formula1>FactList</formula1>
    </dataValidation>
    <dataValidation type="list" allowBlank="1" showInputMessage="1" showErrorMessage="1" sqref="C11:G11" xr:uid="{00000000-0002-0000-0100-000001000000}">
      <formula1>PositionList</formula1>
    </dataValidation>
    <dataValidation type="list" allowBlank="1" showInputMessage="1" showErrorMessage="1" sqref="C13:G13" xr:uid="{00000000-0002-0000-0100-000002000000}">
      <formula1>AdminList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39:J39" xr:uid="{00000000-0002-0000-0100-000003000000}">
      <formula1>SUM(I39:J42)&lt;=AD11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40:J40" xr:uid="{00000000-0002-0000-0100-000004000000}">
      <formula1>SUM(I39:J42)&lt;=AD11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41:J41" xr:uid="{00000000-0002-0000-0100-000005000000}">
      <formula1>SUM(I39:J42)&lt;=AD11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42:J42" xr:uid="{00000000-0002-0000-0100-000006000000}">
      <formula1>SUM(I39:J42)&lt;=AD11</formula1>
    </dataValidation>
  </dataValidations>
  <pageMargins left="0.39370078740157483" right="0.39370078740157483" top="0.39370078740157483" bottom="0.31496062992125984" header="0.31496062992125984" footer="0.19685039370078741"/>
  <pageSetup paperSize="9" scale="99" orientation="landscape" verticalDpi="1200" r:id="rId1"/>
  <headerFooter>
    <oddFooter>&amp;C&amp;"TH SarabunPSK,ตัวหนา"&amp;12APS v.4.4 ข้าราชการ</oddFooter>
  </headerFooter>
  <rowBreaks count="5" manualBreakCount="5">
    <brk id="43" max="16" man="1"/>
    <brk id="54" max="16" man="1"/>
    <brk id="68" max="16" man="1"/>
    <brk id="82" max="16" man="1"/>
    <brk id="103" max="16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8</xdr:col>
                    <xdr:colOff>304800</xdr:colOff>
                    <xdr:row>47</xdr:row>
                    <xdr:rowOff>180975</xdr:rowOff>
                  </from>
                  <to>
                    <xdr:col>8</xdr:col>
                    <xdr:colOff>609600</xdr:colOff>
                    <xdr:row>47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8</xdr:col>
                    <xdr:colOff>304800</xdr:colOff>
                    <xdr:row>48</xdr:row>
                    <xdr:rowOff>190500</xdr:rowOff>
                  </from>
                  <to>
                    <xdr:col>8</xdr:col>
                    <xdr:colOff>609600</xdr:colOff>
                    <xdr:row>48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304800</xdr:colOff>
                    <xdr:row>49</xdr:row>
                    <xdr:rowOff>314325</xdr:rowOff>
                  </from>
                  <to>
                    <xdr:col>8</xdr:col>
                    <xdr:colOff>609600</xdr:colOff>
                    <xdr:row>49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8</xdr:col>
                    <xdr:colOff>304800</xdr:colOff>
                    <xdr:row>50</xdr:row>
                    <xdr:rowOff>0</xdr:rowOff>
                  </from>
                  <to>
                    <xdr:col>8</xdr:col>
                    <xdr:colOff>609600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304800</xdr:colOff>
                    <xdr:row>51</xdr:row>
                    <xdr:rowOff>190500</xdr:rowOff>
                  </from>
                  <to>
                    <xdr:col>8</xdr:col>
                    <xdr:colOff>609600</xdr:colOff>
                    <xdr:row>51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8</xdr:col>
                    <xdr:colOff>304800</xdr:colOff>
                    <xdr:row>52</xdr:row>
                    <xdr:rowOff>361950</xdr:rowOff>
                  </from>
                  <to>
                    <xdr:col>8</xdr:col>
                    <xdr:colOff>609600</xdr:colOff>
                    <xdr:row>52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8</xdr:col>
                    <xdr:colOff>304800</xdr:colOff>
                    <xdr:row>53</xdr:row>
                    <xdr:rowOff>533400</xdr:rowOff>
                  </from>
                  <to>
                    <xdr:col>8</xdr:col>
                    <xdr:colOff>609600</xdr:colOff>
                    <xdr:row>53</xdr:row>
                    <xdr:rowOff>838200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8</xdr:col>
                    <xdr:colOff>304800</xdr:colOff>
                    <xdr:row>56</xdr:row>
                    <xdr:rowOff>447675</xdr:rowOff>
                  </from>
                  <to>
                    <xdr:col>8</xdr:col>
                    <xdr:colOff>609600</xdr:colOff>
                    <xdr:row>56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8</xdr:col>
                    <xdr:colOff>304800</xdr:colOff>
                    <xdr:row>67</xdr:row>
                    <xdr:rowOff>304800</xdr:rowOff>
                  </from>
                  <to>
                    <xdr:col>8</xdr:col>
                    <xdr:colOff>609600</xdr:colOff>
                    <xdr:row>67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8</xdr:col>
                    <xdr:colOff>304800</xdr:colOff>
                    <xdr:row>70</xdr:row>
                    <xdr:rowOff>180975</xdr:rowOff>
                  </from>
                  <to>
                    <xdr:col>8</xdr:col>
                    <xdr:colOff>609600</xdr:colOff>
                    <xdr:row>70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8</xdr:col>
                    <xdr:colOff>304800</xdr:colOff>
                    <xdr:row>71</xdr:row>
                    <xdr:rowOff>238125</xdr:rowOff>
                  </from>
                  <to>
                    <xdr:col>8</xdr:col>
                    <xdr:colOff>609600</xdr:colOff>
                    <xdr:row>71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8</xdr:col>
                    <xdr:colOff>295275</xdr:colOff>
                    <xdr:row>58</xdr:row>
                    <xdr:rowOff>0</xdr:rowOff>
                  </from>
                  <to>
                    <xdr:col>8</xdr:col>
                    <xdr:colOff>600075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5</xdr:col>
                    <xdr:colOff>85725</xdr:colOff>
                    <xdr:row>111</xdr:row>
                    <xdr:rowOff>19050</xdr:rowOff>
                  </from>
                  <to>
                    <xdr:col>5</xdr:col>
                    <xdr:colOff>390525</xdr:colOff>
                    <xdr:row>112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5</xdr:col>
                    <xdr:colOff>85725</xdr:colOff>
                    <xdr:row>112</xdr:row>
                    <xdr:rowOff>28575</xdr:rowOff>
                  </from>
                  <to>
                    <xdr:col>5</xdr:col>
                    <xdr:colOff>390525</xdr:colOff>
                    <xdr:row>113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0000"/>
  </sheetPr>
  <dimension ref="A1:AK299"/>
  <sheetViews>
    <sheetView showGridLines="0" zoomScale="110" zoomScaleNormal="110" zoomScaleSheetLayoutView="100" workbookViewId="0">
      <selection activeCell="G15" sqref="G15"/>
    </sheetView>
  </sheetViews>
  <sheetFormatPr defaultRowHeight="24.75" x14ac:dyDescent="0.6"/>
  <cols>
    <col min="1" max="1" width="3.375" style="54" customWidth="1"/>
    <col min="2" max="2" width="12.75" style="54" customWidth="1"/>
    <col min="3" max="3" width="22" style="54" customWidth="1"/>
    <col min="4" max="4" width="10.125" style="54" customWidth="1"/>
    <col min="5" max="5" width="8.875" style="54" customWidth="1"/>
    <col min="6" max="6" width="8.5" style="54" customWidth="1"/>
    <col min="7" max="7" width="9.375" style="54" customWidth="1"/>
    <col min="8" max="8" width="14.625" style="54" customWidth="1"/>
    <col min="9" max="9" width="10.875" style="54" customWidth="1"/>
    <col min="10" max="11" width="10.125" style="54" customWidth="1"/>
    <col min="12" max="12" width="11.125" style="54" customWidth="1"/>
    <col min="13" max="13" width="9" style="54"/>
    <col min="14" max="14" width="2.25" style="54" customWidth="1"/>
    <col min="15" max="15" width="9" style="54"/>
    <col min="16" max="16" width="11.75" style="54" customWidth="1"/>
    <col min="17" max="17" width="8" style="54" hidden="1" customWidth="1"/>
    <col min="18" max="20" width="9" style="54"/>
    <col min="21" max="21" width="5" style="54" customWidth="1"/>
    <col min="22" max="22" width="9" style="54"/>
    <col min="23" max="23" width="9" style="54" hidden="1" customWidth="1"/>
    <col min="24" max="26" width="9" style="54"/>
    <col min="27" max="28" width="0" style="54" hidden="1" customWidth="1"/>
    <col min="29" max="35" width="8.25" style="54" hidden="1" customWidth="1"/>
    <col min="36" max="36" width="8.75" style="54" hidden="1" customWidth="1"/>
    <col min="37" max="37" width="7.25" style="54" hidden="1" customWidth="1"/>
    <col min="38" max="38" width="0" style="54" hidden="1" customWidth="1"/>
    <col min="39" max="16384" width="9" style="54"/>
  </cols>
  <sheetData>
    <row r="1" spans="1:23" x14ac:dyDescent="0.6">
      <c r="A1" s="1640"/>
      <c r="B1" s="1640"/>
      <c r="C1" s="1640"/>
      <c r="D1" s="1640"/>
      <c r="E1" s="1640"/>
      <c r="F1" s="1640"/>
      <c r="G1" s="1640"/>
      <c r="H1" s="1640"/>
      <c r="I1" s="1640"/>
      <c r="J1" s="1640"/>
      <c r="K1" s="1641"/>
      <c r="L1" s="1641" t="s">
        <v>236</v>
      </c>
    </row>
    <row r="2" spans="1:23" x14ac:dyDescent="0.6">
      <c r="A2" s="1640"/>
      <c r="B2" s="1640"/>
      <c r="C2" s="1640"/>
      <c r="D2" s="1640"/>
      <c r="E2" s="1640"/>
      <c r="F2" s="1640"/>
      <c r="G2" s="1640"/>
      <c r="H2" s="1640"/>
      <c r="I2" s="1640"/>
      <c r="J2" s="1640"/>
      <c r="K2" s="1640"/>
      <c r="L2" s="1640"/>
    </row>
    <row r="3" spans="1:23" x14ac:dyDescent="0.6">
      <c r="A3" s="1640"/>
      <c r="B3" s="1640"/>
      <c r="C3" s="1640"/>
      <c r="D3" s="1640"/>
      <c r="E3" s="1640"/>
      <c r="F3" s="1640"/>
      <c r="G3" s="1640"/>
      <c r="H3" s="1640"/>
      <c r="I3" s="1640"/>
      <c r="J3" s="1640"/>
      <c r="K3" s="1640"/>
      <c r="L3" s="1640"/>
    </row>
    <row r="4" spans="1:23" ht="12" customHeight="1" x14ac:dyDescent="0.6">
      <c r="A4" s="1640"/>
      <c r="B4" s="1640"/>
      <c r="C4" s="1640"/>
      <c r="D4" s="1640"/>
      <c r="E4" s="1640"/>
      <c r="F4" s="1640"/>
      <c r="G4" s="1640"/>
      <c r="H4" s="1640"/>
      <c r="I4" s="1640"/>
      <c r="J4" s="1640"/>
      <c r="K4" s="1640"/>
      <c r="L4" s="1640"/>
    </row>
    <row r="5" spans="1:23" x14ac:dyDescent="0.6">
      <c r="A5" s="2795" t="s">
        <v>1166</v>
      </c>
      <c r="B5" s="2795"/>
      <c r="C5" s="2795"/>
      <c r="D5" s="2795"/>
      <c r="E5" s="2795"/>
      <c r="F5" s="2795"/>
      <c r="G5" s="2795"/>
      <c r="H5" s="2795"/>
      <c r="I5" s="2795"/>
      <c r="J5" s="2795"/>
      <c r="K5" s="2795"/>
      <c r="L5" s="2795"/>
    </row>
    <row r="6" spans="1:23" x14ac:dyDescent="0.6">
      <c r="A6" s="2795" t="s">
        <v>28</v>
      </c>
      <c r="B6" s="2795"/>
      <c r="C6" s="2795"/>
      <c r="D6" s="2795"/>
      <c r="E6" s="2795"/>
      <c r="F6" s="2795"/>
      <c r="G6" s="2795"/>
      <c r="H6" s="2795"/>
      <c r="I6" s="2795"/>
      <c r="J6" s="2795"/>
      <c r="K6" s="2795"/>
      <c r="L6" s="2795"/>
    </row>
    <row r="7" spans="1:23" s="55" customFormat="1" ht="11.25" customHeight="1" x14ac:dyDescent="0.55000000000000004">
      <c r="A7" s="1642"/>
      <c r="B7" s="1642"/>
      <c r="C7" s="1643"/>
      <c r="D7" s="1642"/>
      <c r="E7" s="1642"/>
      <c r="F7" s="1642"/>
      <c r="G7" s="1642"/>
      <c r="H7" s="1642"/>
      <c r="I7" s="1642"/>
      <c r="J7" s="1642"/>
      <c r="K7" s="1642"/>
      <c r="L7" s="1642"/>
      <c r="W7" s="55" t="s">
        <v>218</v>
      </c>
    </row>
    <row r="8" spans="1:23" ht="23.25" customHeight="1" x14ac:dyDescent="0.6">
      <c r="A8" s="1644" t="s">
        <v>29</v>
      </c>
      <c r="B8" s="1644"/>
      <c r="C8" s="1640"/>
      <c r="D8" s="1644"/>
      <c r="E8" s="1644"/>
      <c r="F8" s="1644"/>
      <c r="G8" s="1644"/>
      <c r="H8" s="1644"/>
      <c r="I8" s="1644"/>
      <c r="J8" s="1644"/>
      <c r="K8" s="1644"/>
      <c r="L8" s="1640"/>
    </row>
    <row r="9" spans="1:23" s="55" customFormat="1" x14ac:dyDescent="0.6">
      <c r="A9" s="1645"/>
      <c r="B9" s="1645" t="s">
        <v>31</v>
      </c>
      <c r="C9" s="2796" t="str">
        <f>IF('แบบข้อตกลง TOR (ป.วช.-01)'!C9:G9="","",'แบบข้อตกลง TOR (ป.วช.-01)'!C9:G9)</f>
        <v/>
      </c>
      <c r="D9" s="2796"/>
      <c r="E9" s="2796"/>
      <c r="F9" s="1646"/>
      <c r="G9" s="1647" t="s">
        <v>157</v>
      </c>
      <c r="H9" s="1648"/>
      <c r="I9" s="1649" t="str">
        <f>'แบบข้อตกลง TOR (ป.วช.-01)'!J9</f>
        <v>ข้าราชการ</v>
      </c>
      <c r="J9" s="1650"/>
      <c r="K9" s="1650"/>
      <c r="L9" s="1651"/>
      <c r="M9" s="56"/>
      <c r="N9" s="1663"/>
      <c r="O9" s="1664" t="s">
        <v>30</v>
      </c>
      <c r="P9" s="1665"/>
      <c r="Q9" s="1665"/>
      <c r="R9" s="1665"/>
      <c r="S9" s="1665"/>
      <c r="T9" s="1666"/>
      <c r="U9" s="1667"/>
      <c r="W9" s="54">
        <v>0</v>
      </c>
    </row>
    <row r="10" spans="1:23" s="55" customFormat="1" ht="22.5" x14ac:dyDescent="0.55000000000000004">
      <c r="A10" s="1645"/>
      <c r="B10" s="1645" t="s">
        <v>34</v>
      </c>
      <c r="C10" s="2797" t="str">
        <f>'แบบข้อตกลง TOR (ป.วช.-01)'!AK11</f>
        <v>อาจารย์</v>
      </c>
      <c r="D10" s="2797"/>
      <c r="E10" s="2797"/>
      <c r="F10" s="1646"/>
      <c r="G10" s="1647" t="s">
        <v>32</v>
      </c>
      <c r="H10" s="1648"/>
      <c r="I10" s="1649" t="str">
        <f>'แบบข้อตกลง TOR (ป.วช.-01)'!J11</f>
        <v>คณะวิทยาศาสตร์</v>
      </c>
      <c r="J10" s="1650"/>
      <c r="K10" s="1650"/>
      <c r="L10" s="1651"/>
      <c r="M10" s="56"/>
      <c r="N10" s="1668"/>
      <c r="O10" s="1669" t="s">
        <v>1169</v>
      </c>
      <c r="P10" s="1669"/>
      <c r="Q10" s="1670"/>
      <c r="R10" s="1669"/>
      <c r="S10" s="1669"/>
      <c r="T10" s="1669"/>
      <c r="U10" s="1671"/>
      <c r="W10" s="55">
        <v>1</v>
      </c>
    </row>
    <row r="11" spans="1:23" s="55" customFormat="1" ht="24" x14ac:dyDescent="0.55000000000000004">
      <c r="A11" s="1645"/>
      <c r="B11" s="1645" t="s">
        <v>38</v>
      </c>
      <c r="C11" s="2798" t="str">
        <f>'แบบข้อตกลง TOR (ป.วช.-01)'!C13:G13</f>
        <v>ไม่มี</v>
      </c>
      <c r="D11" s="2798"/>
      <c r="E11" s="2798"/>
      <c r="F11" s="1646"/>
      <c r="G11" s="1647" t="s">
        <v>420</v>
      </c>
      <c r="H11" s="1648"/>
      <c r="I11" s="1652" t="str">
        <f>IF('แบบข้อตกลง TOR (ป.วช.-01)'!J13&lt;&gt;"",'แบบข้อตกลง TOR (ป.วช.-01)'!J13,"")</f>
        <v/>
      </c>
      <c r="J11" s="1650"/>
      <c r="K11" s="1650"/>
      <c r="L11" s="1651"/>
      <c r="M11" s="62"/>
      <c r="N11" s="1668"/>
      <c r="O11" s="1669" t="s">
        <v>1170</v>
      </c>
      <c r="P11" s="1669"/>
      <c r="Q11" s="1669"/>
      <c r="R11" s="1669"/>
      <c r="S11" s="1669"/>
      <c r="T11" s="1672"/>
      <c r="U11" s="1671"/>
      <c r="W11" s="55">
        <v>2</v>
      </c>
    </row>
    <row r="12" spans="1:23" s="55" customFormat="1" ht="6" customHeight="1" x14ac:dyDescent="0.55000000000000004">
      <c r="A12" s="1645"/>
      <c r="B12" s="1645"/>
      <c r="C12" s="2091"/>
      <c r="D12" s="2091"/>
      <c r="E12" s="2091"/>
      <c r="F12" s="1646"/>
      <c r="G12" s="2092"/>
      <c r="H12" s="2093"/>
      <c r="I12" s="2094"/>
      <c r="J12" s="1646"/>
      <c r="K12" s="1646"/>
      <c r="L12" s="1651"/>
      <c r="M12" s="62"/>
      <c r="N12" s="1668"/>
      <c r="O12" s="1669"/>
      <c r="P12" s="1669"/>
      <c r="Q12" s="1669"/>
      <c r="R12" s="1669"/>
      <c r="S12" s="1669"/>
      <c r="T12" s="1672"/>
      <c r="U12" s="1671"/>
      <c r="W12" s="55">
        <v>3</v>
      </c>
    </row>
    <row r="13" spans="1:23" s="55" customFormat="1" ht="24" x14ac:dyDescent="0.55000000000000004">
      <c r="A13" s="1645"/>
      <c r="B13" s="1645" t="s">
        <v>1167</v>
      </c>
      <c r="C13" s="2552" t="s">
        <v>1192</v>
      </c>
      <c r="D13" s="2553"/>
      <c r="E13" s="2554"/>
      <c r="F13" s="1646"/>
      <c r="G13" s="2092"/>
      <c r="H13" s="2093"/>
      <c r="I13" s="2094"/>
      <c r="J13" s="1646"/>
      <c r="K13" s="1646"/>
      <c r="L13" s="1651"/>
      <c r="M13" s="62"/>
      <c r="N13" s="1668"/>
      <c r="O13" s="1669" t="s">
        <v>1171</v>
      </c>
      <c r="P13" s="1669"/>
      <c r="Q13" s="1669"/>
      <c r="R13" s="1669"/>
      <c r="S13" s="1669"/>
      <c r="T13" s="1672"/>
      <c r="U13" s="1671"/>
      <c r="W13" s="55">
        <v>4</v>
      </c>
    </row>
    <row r="14" spans="1:23" s="55" customFormat="1" ht="5.25" customHeight="1" x14ac:dyDescent="0.55000000000000004">
      <c r="A14" s="1645"/>
      <c r="B14" s="1645"/>
      <c r="C14" s="2091"/>
      <c r="D14" s="2091"/>
      <c r="E14" s="2091"/>
      <c r="F14" s="1646"/>
      <c r="G14" s="2092"/>
      <c r="H14" s="2093"/>
      <c r="I14" s="2094"/>
      <c r="J14" s="1646"/>
      <c r="K14" s="1646"/>
      <c r="L14" s="1651"/>
      <c r="M14" s="62"/>
      <c r="N14" s="1668"/>
      <c r="O14" s="1669"/>
      <c r="P14" s="1669"/>
      <c r="Q14" s="1669"/>
      <c r="R14" s="1669"/>
      <c r="S14" s="1669"/>
      <c r="T14" s="1672"/>
      <c r="U14" s="1671"/>
      <c r="W14" s="55">
        <v>5</v>
      </c>
    </row>
    <row r="15" spans="1:23" s="55" customFormat="1" ht="22.5" x14ac:dyDescent="0.55000000000000004">
      <c r="A15" s="1647"/>
      <c r="B15" s="1653" t="s">
        <v>43</v>
      </c>
      <c r="C15" s="2802" t="str">
        <f>IF(C13=น้ำหนัก!A22,น้ำหนัก!B22,IF(C13=น้ำหนัก!A23,น้ำหนัก!B23,""))</f>
        <v>1 ตุลาคม 2563</v>
      </c>
      <c r="D15" s="2802"/>
      <c r="E15" s="2802"/>
      <c r="F15" s="1654"/>
      <c r="G15" s="1647" t="s">
        <v>44</v>
      </c>
      <c r="H15" s="1648"/>
      <c r="I15" s="2089" t="str">
        <f>IF(C13=น้ำหนัก!A22,น้ำหนัก!C22,IF(C13=น้ำหนัก!A23,น้ำหนัก!C23,""))</f>
        <v>31 มีนาคม 2564</v>
      </c>
      <c r="J15" s="1656"/>
      <c r="K15" s="1657"/>
      <c r="L15" s="1658"/>
      <c r="M15" s="63"/>
      <c r="N15" s="1668"/>
      <c r="O15" s="1669"/>
      <c r="P15" s="1669"/>
      <c r="Q15" s="1669"/>
      <c r="R15" s="2095"/>
      <c r="S15" s="1669"/>
      <c r="T15" s="1669"/>
      <c r="U15" s="1671"/>
    </row>
    <row r="16" spans="1:23" s="55" customFormat="1" ht="22.5" x14ac:dyDescent="0.55000000000000004">
      <c r="A16" s="1647"/>
      <c r="B16" s="1647" t="s">
        <v>45</v>
      </c>
      <c r="C16" s="2803" t="str">
        <f>IF('แบบข้อตกลง TOR (ป.วช.-01)'!C17:G17&lt;&gt;"",'แบบข้อตกลง TOR (ป.วช.-01)'!C17:G17,"")</f>
        <v/>
      </c>
      <c r="D16" s="2803"/>
      <c r="E16" s="2803"/>
      <c r="F16" s="1654"/>
      <c r="G16" s="1647" t="s">
        <v>46</v>
      </c>
      <c r="H16" s="1648"/>
      <c r="I16" s="1652" t="str">
        <f>IF('แบบข้อตกลง TOR (ป.วช.-01)'!AK15&lt;&gt;0,'แบบข้อตกลง TOR (ป.วช.-01)'!AK15,"")</f>
        <v/>
      </c>
      <c r="J16" s="1656"/>
      <c r="K16" s="1655"/>
      <c r="L16" s="1659"/>
      <c r="N16" s="1668"/>
      <c r="O16" s="1669"/>
      <c r="P16" s="2105" t="s">
        <v>40</v>
      </c>
      <c r="Q16" s="1669"/>
      <c r="R16" s="2105"/>
      <c r="S16" s="2105" t="s">
        <v>41</v>
      </c>
      <c r="T16" s="1669"/>
      <c r="U16" s="1671"/>
    </row>
    <row r="17" spans="1:37" x14ac:dyDescent="0.6">
      <c r="A17" s="1642"/>
      <c r="B17" s="1642"/>
      <c r="C17" s="1660"/>
      <c r="D17" s="1660"/>
      <c r="E17" s="1660"/>
      <c r="F17" s="1660"/>
      <c r="G17" s="1660"/>
      <c r="H17" s="1660"/>
      <c r="I17" s="1660"/>
      <c r="J17" s="1660"/>
      <c r="K17" s="1660"/>
      <c r="L17" s="1642"/>
      <c r="N17" s="1681"/>
      <c r="O17" s="2106" t="s">
        <v>1172</v>
      </c>
      <c r="P17" s="2107"/>
      <c r="Q17" s="2107"/>
      <c r="R17" s="2106"/>
      <c r="S17" s="2106"/>
      <c r="T17" s="2106"/>
      <c r="U17" s="2108"/>
      <c r="W17" s="55"/>
    </row>
    <row r="18" spans="1:37" s="55" customFormat="1" ht="22.5" customHeight="1" x14ac:dyDescent="0.55000000000000004">
      <c r="A18" s="1661" t="s">
        <v>237</v>
      </c>
      <c r="B18" s="1661"/>
      <c r="C18" s="1661"/>
      <c r="D18" s="1661"/>
      <c r="E18" s="1661"/>
      <c r="F18" s="1661"/>
      <c r="G18" s="1661"/>
      <c r="H18" s="1661"/>
      <c r="I18" s="1661"/>
      <c r="J18" s="1640"/>
      <c r="K18" s="1640"/>
      <c r="L18" s="1662"/>
      <c r="N18" s="1674"/>
      <c r="O18" s="1675"/>
      <c r="P18" s="1674"/>
      <c r="Q18" s="1674"/>
      <c r="R18" s="1674"/>
      <c r="S18" s="1674"/>
      <c r="T18" s="1673"/>
      <c r="U18" s="1673"/>
      <c r="V18" s="89"/>
    </row>
    <row r="19" spans="1:37" s="55" customFormat="1" ht="31.5" x14ac:dyDescent="0.55000000000000004">
      <c r="A19" s="2525" t="s">
        <v>52</v>
      </c>
      <c r="B19" s="2525"/>
      <c r="C19" s="2525"/>
      <c r="D19" s="2518" t="s">
        <v>238</v>
      </c>
      <c r="E19" s="2787" t="s">
        <v>239</v>
      </c>
      <c r="F19" s="2526"/>
      <c r="G19" s="2527"/>
      <c r="H19" s="2530" t="s">
        <v>240</v>
      </c>
      <c r="I19" s="2531"/>
      <c r="J19" s="2518" t="s">
        <v>241</v>
      </c>
      <c r="K19" s="2518" t="s">
        <v>242</v>
      </c>
      <c r="L19" s="1686" t="s">
        <v>243</v>
      </c>
      <c r="N19" s="1673"/>
      <c r="O19" s="1676"/>
      <c r="P19" s="1676"/>
      <c r="Q19" s="1676"/>
      <c r="R19" s="1676"/>
      <c r="S19" s="1676"/>
      <c r="T19" s="1676"/>
      <c r="U19" s="1676"/>
      <c r="V19" s="89"/>
    </row>
    <row r="20" spans="1:37" s="55" customFormat="1" thickBot="1" x14ac:dyDescent="0.6">
      <c r="A20" s="2525"/>
      <c r="B20" s="2525"/>
      <c r="C20" s="2525"/>
      <c r="D20" s="2519"/>
      <c r="E20" s="2788"/>
      <c r="F20" s="2528"/>
      <c r="G20" s="2529"/>
      <c r="H20" s="2532"/>
      <c r="I20" s="2533"/>
      <c r="J20" s="2519"/>
      <c r="K20" s="2519"/>
      <c r="L20" s="1687"/>
      <c r="N20" s="1663"/>
      <c r="O20" s="1677" t="s">
        <v>1013</v>
      </c>
      <c r="P20" s="1665"/>
      <c r="Q20" s="1665"/>
      <c r="R20" s="1665"/>
      <c r="S20" s="1665"/>
      <c r="T20" s="1666"/>
      <c r="U20" s="1667"/>
      <c r="V20" s="89"/>
    </row>
    <row r="21" spans="1:37" s="55" customFormat="1" ht="23.25" thickBot="1" x14ac:dyDescent="0.6">
      <c r="A21" s="2776" t="str">
        <f>'แบบข้อตกลง TOR (ป.วช.-01)'!A28:Q28</f>
        <v>ไม่มีภาระงานบริหาร (ร้อยละ 0)</v>
      </c>
      <c r="B21" s="2777"/>
      <c r="C21" s="2777"/>
      <c r="D21" s="2777"/>
      <c r="E21" s="2799"/>
      <c r="F21" s="2799"/>
      <c r="G21" s="2799"/>
      <c r="H21" s="2799"/>
      <c r="I21" s="2799"/>
      <c r="J21" s="2777"/>
      <c r="K21" s="2799"/>
      <c r="L21" s="2778"/>
      <c r="N21" s="1668"/>
      <c r="O21" s="1678" t="s">
        <v>1097</v>
      </c>
      <c r="P21" s="1678"/>
      <c r="Q21" s="1679"/>
      <c r="R21" s="1678"/>
      <c r="S21" s="1685"/>
      <c r="T21" s="1678"/>
      <c r="U21" s="1680"/>
      <c r="V21" s="76"/>
    </row>
    <row r="22" spans="1:37" s="55" customFormat="1" ht="53.25" customHeight="1" thickBot="1" x14ac:dyDescent="0.6">
      <c r="A22" s="2520" t="str">
        <f>'แบบข้อตกลง TOR (ป.วช.-01)'!A31:C31</f>
        <v/>
      </c>
      <c r="B22" s="2800"/>
      <c r="C22" s="2801"/>
      <c r="D22" s="2173" t="str">
        <f>IF('แบบข้อตกลง TOR (ป.วช.-01)'!I31="","",'แบบข้อตกลง TOR (ป.วช.-01)'!I31)</f>
        <v/>
      </c>
      <c r="E22" s="2523"/>
      <c r="F22" s="2523"/>
      <c r="G22" s="2523"/>
      <c r="H22" s="2523"/>
      <c r="I22" s="2523"/>
      <c r="J22" s="2174" t="str">
        <f>IF('แบบข้อตกลง TOR (ป.วช.-01)'!K31="","",'แบบข้อตกลง TOR (ป.วช.-01)'!K31)</f>
        <v/>
      </c>
      <c r="K22" s="1688"/>
      <c r="L22" s="2177">
        <f>IF(J22&lt;&gt;"",J22*K22,0)</f>
        <v>0</v>
      </c>
      <c r="N22" s="1681"/>
      <c r="O22" s="1682"/>
      <c r="P22" s="1682"/>
      <c r="Q22" s="1682"/>
      <c r="R22" s="1682"/>
      <c r="S22" s="1682"/>
      <c r="T22" s="1683"/>
      <c r="U22" s="1684"/>
      <c r="W22" s="85">
        <f>IF(J22&lt;&gt;"",IF(D22&lt;&gt;"",J22*D22,0),0)</f>
        <v>0</v>
      </c>
    </row>
    <row r="23" spans="1:37" s="55" customFormat="1" ht="54" customHeight="1" thickBot="1" x14ac:dyDescent="0.6">
      <c r="A23" s="2520" t="str">
        <f>'แบบข้อตกลง TOR (ป.วช.-01)'!A32:C32</f>
        <v/>
      </c>
      <c r="B23" s="2521"/>
      <c r="C23" s="2522"/>
      <c r="D23" s="2173" t="str">
        <f>IF('แบบข้อตกลง TOR (ป.วช.-01)'!I32="","",'แบบข้อตกลง TOR (ป.วช.-01)'!I32)</f>
        <v/>
      </c>
      <c r="E23" s="2523"/>
      <c r="F23" s="2523"/>
      <c r="G23" s="2523"/>
      <c r="H23" s="2523"/>
      <c r="I23" s="2523"/>
      <c r="J23" s="2174" t="str">
        <f>IF('แบบข้อตกลง TOR (ป.วช.-01)'!K32="","",'แบบข้อตกลง TOR (ป.วช.-01)'!K32)</f>
        <v/>
      </c>
      <c r="K23" s="1688"/>
      <c r="L23" s="2177">
        <f t="shared" ref="L23:L24" si="0">IF(J23&lt;&gt;"",J23*K23,0)</f>
        <v>0</v>
      </c>
      <c r="N23" s="1673"/>
      <c r="O23" s="1676"/>
      <c r="P23" s="1676"/>
      <c r="Q23" s="1676"/>
      <c r="R23" s="1676"/>
      <c r="S23" s="1676"/>
      <c r="T23" s="2179"/>
      <c r="U23" s="1676"/>
      <c r="W23" s="85">
        <f t="shared" ref="W23:W24" si="1">IF(J23&lt;&gt;"",IF(D23&lt;&gt;"",J23*D23,0),0)</f>
        <v>0</v>
      </c>
    </row>
    <row r="24" spans="1:37" s="55" customFormat="1" ht="45" customHeight="1" thickBot="1" x14ac:dyDescent="0.6">
      <c r="A24" s="2520" t="str">
        <f>'แบบข้อตกลง TOR (ป.วช.-01)'!A33:C33</f>
        <v/>
      </c>
      <c r="B24" s="2521"/>
      <c r="C24" s="2522"/>
      <c r="D24" s="2175" t="str">
        <f>IF('แบบข้อตกลง TOR (ป.วช.-01)'!I33="","",'แบบข้อตกลง TOR (ป.วช.-01)'!I33)</f>
        <v/>
      </c>
      <c r="E24" s="2524"/>
      <c r="F24" s="2523"/>
      <c r="G24" s="2523"/>
      <c r="H24" s="2523"/>
      <c r="I24" s="2523"/>
      <c r="J24" s="2176" t="str">
        <f>IF('แบบข้อตกลง TOR (ป.วช.-01)'!K33="","",'แบบข้อตกลง TOR (ป.วช.-01)'!K33)</f>
        <v/>
      </c>
      <c r="K24" s="1688"/>
      <c r="L24" s="2178">
        <f t="shared" si="0"/>
        <v>0</v>
      </c>
      <c r="N24" s="1673"/>
      <c r="O24" s="1676"/>
      <c r="P24" s="1676"/>
      <c r="Q24" s="1676"/>
      <c r="R24" s="1676"/>
      <c r="S24" s="1676"/>
      <c r="T24" s="2179"/>
      <c r="U24" s="1676"/>
      <c r="W24" s="85">
        <f t="shared" si="1"/>
        <v>0</v>
      </c>
    </row>
    <row r="25" spans="1:37" s="55" customFormat="1" ht="22.5" x14ac:dyDescent="0.55000000000000004">
      <c r="A25" s="2804" t="s">
        <v>244</v>
      </c>
      <c r="B25" s="2805"/>
      <c r="C25" s="2805"/>
      <c r="D25" s="2805"/>
      <c r="E25" s="2805"/>
      <c r="F25" s="2805"/>
      <c r="G25" s="2805"/>
      <c r="H25" s="2805"/>
      <c r="I25" s="2805"/>
      <c r="J25" s="2805"/>
      <c r="K25" s="2806"/>
      <c r="L25" s="1689">
        <f>SUM(L22:L24)/5</f>
        <v>0</v>
      </c>
      <c r="W25" s="55">
        <f>SUM(W22:W24)/5</f>
        <v>0</v>
      </c>
    </row>
    <row r="26" spans="1:37" s="55" customFormat="1" ht="22.5" x14ac:dyDescent="0.55000000000000004">
      <c r="A26" s="2776" t="str">
        <f>'แบบข้อตกลง TOR (ป.วช.-01)'!A35:Q35</f>
        <v>2. ภาระงานตามพันธกิจ   (ร้อยละ 40)</v>
      </c>
      <c r="B26" s="2777"/>
      <c r="C26" s="2777"/>
      <c r="D26" s="2777"/>
      <c r="E26" s="2777"/>
      <c r="F26" s="2777"/>
      <c r="G26" s="2777"/>
      <c r="H26" s="2777"/>
      <c r="I26" s="2777"/>
      <c r="J26" s="2777"/>
      <c r="K26" s="2777"/>
      <c r="L26" s="2778"/>
      <c r="AC26" s="71" t="s">
        <v>245</v>
      </c>
      <c r="AD26" s="71" t="s">
        <v>246</v>
      </c>
      <c r="AE26" s="71" t="s">
        <v>247</v>
      </c>
      <c r="AF26" s="71" t="s">
        <v>248</v>
      </c>
      <c r="AG26" s="71" t="s">
        <v>249</v>
      </c>
      <c r="AH26" s="71" t="s">
        <v>250</v>
      </c>
      <c r="AI26" s="71" t="s">
        <v>251</v>
      </c>
      <c r="AJ26" s="72" t="s">
        <v>252</v>
      </c>
      <c r="AK26" s="73" t="s">
        <v>253</v>
      </c>
    </row>
    <row r="27" spans="1:37" s="55" customFormat="1" ht="22.5" customHeight="1" x14ac:dyDescent="0.55000000000000004">
      <c r="A27" s="1690" t="s">
        <v>60</v>
      </c>
      <c r="B27" s="2779" t="str">
        <f>'แบบข้อตกลง TOR (ป.วช.-01)'!B36:Q36</f>
        <v>ภาระงานเชิงปริมาณ (จำนวน 35 ชั่วโมงทำการ/สัปดาห์ คิดเป็นร้อยละ 30)</v>
      </c>
      <c r="C27" s="2779"/>
      <c r="D27" s="2779"/>
      <c r="E27" s="2779"/>
      <c r="F27" s="2779"/>
      <c r="G27" s="2779"/>
      <c r="H27" s="2779"/>
      <c r="I27" s="2779"/>
      <c r="J27" s="2779"/>
      <c r="K27" s="2779"/>
      <c r="L27" s="2780"/>
      <c r="M27" s="74"/>
    </row>
    <row r="28" spans="1:37" s="55" customFormat="1" ht="31.5" x14ac:dyDescent="0.55000000000000004">
      <c r="A28" s="2525" t="s">
        <v>52</v>
      </c>
      <c r="B28" s="2525"/>
      <c r="C28" s="2525"/>
      <c r="D28" s="2518" t="s">
        <v>238</v>
      </c>
      <c r="E28" s="2787" t="s">
        <v>254</v>
      </c>
      <c r="F28" s="2526"/>
      <c r="G28" s="2527"/>
      <c r="H28" s="2530" t="s">
        <v>240</v>
      </c>
      <c r="I28" s="2531"/>
      <c r="J28" s="2518" t="s">
        <v>241</v>
      </c>
      <c r="K28" s="2518" t="s">
        <v>242</v>
      </c>
      <c r="L28" s="1686" t="s">
        <v>255</v>
      </c>
      <c r="M28" s="70"/>
    </row>
    <row r="29" spans="1:37" s="55" customFormat="1" ht="23.25" thickBot="1" x14ac:dyDescent="0.6">
      <c r="A29" s="2525"/>
      <c r="B29" s="2525"/>
      <c r="C29" s="2525"/>
      <c r="D29" s="2519"/>
      <c r="E29" s="2788"/>
      <c r="F29" s="2528"/>
      <c r="G29" s="2529"/>
      <c r="H29" s="2753"/>
      <c r="I29" s="2754"/>
      <c r="J29" s="2519"/>
      <c r="K29" s="2519"/>
      <c r="L29" s="1687"/>
      <c r="M29" s="70"/>
      <c r="N29" s="88"/>
      <c r="O29" s="57"/>
      <c r="P29" s="57"/>
      <c r="Q29" s="57"/>
      <c r="R29" s="57"/>
      <c r="S29" s="57"/>
      <c r="T29" s="57"/>
      <c r="U29" s="58"/>
    </row>
    <row r="30" spans="1:37" s="55" customFormat="1" ht="25.5" customHeight="1" thickBot="1" x14ac:dyDescent="0.6">
      <c r="A30" s="1691" t="s">
        <v>63</v>
      </c>
      <c r="B30" s="2781" t="s">
        <v>64</v>
      </c>
      <c r="C30" s="2782"/>
      <c r="D30" s="1692">
        <f>'แบบข้อตกลง TOR (ป.วช.-01)'!I39</f>
        <v>0</v>
      </c>
      <c r="E30" s="2783">
        <f>สรุปภาระงาน!G27</f>
        <v>0</v>
      </c>
      <c r="F30" s="2784"/>
      <c r="G30" s="2784"/>
      <c r="H30" s="2785"/>
      <c r="I30" s="2786"/>
      <c r="J30" s="1693">
        <f>'แบบข้อตกลง TOR (ป.วช.-01)'!K39</f>
        <v>0</v>
      </c>
      <c r="K30" s="1694">
        <f>IF('แบบข้อตกลง TOR (ป.วช.-01)'!I39=0,0,IF(5-(('แบบข้อตกลง TOR (ป.วช.-01)'!I39-E30)/('แบบข้อตกลง TOR (ป.วช.-01)'!I39-'แบบข้อตกลง TOR (ป.วช.-01)'!L39)*5)&gt;5,5,5-(('แบบข้อตกลง TOR (ป.วช.-01)'!I39-E30)/('แบบข้อตกลง TOR (ป.วช.-01)'!I39-'แบบข้อตกลง TOR (ป.วช.-01)'!L39)*5)))</f>
        <v>0</v>
      </c>
      <c r="L30" s="1695">
        <f>J30*K30</f>
        <v>0</v>
      </c>
      <c r="M30" s="70"/>
      <c r="N30" s="59"/>
      <c r="O30" s="60"/>
      <c r="P30" s="60"/>
      <c r="Q30" s="60"/>
      <c r="R30" s="60"/>
      <c r="S30" s="60"/>
      <c r="T30" s="60"/>
      <c r="U30" s="61"/>
    </row>
    <row r="31" spans="1:37" s="55" customFormat="1" ht="25.5" customHeight="1" thickBot="1" x14ac:dyDescent="0.6">
      <c r="A31" s="1691" t="s">
        <v>66</v>
      </c>
      <c r="B31" s="2781" t="s">
        <v>67</v>
      </c>
      <c r="C31" s="2782"/>
      <c r="D31" s="1696">
        <f>'แบบข้อตกลง TOR (ป.วช.-01)'!I40</f>
        <v>0</v>
      </c>
      <c r="E31" s="2783">
        <f>สรุปภาระงาน!G28</f>
        <v>0</v>
      </c>
      <c r="F31" s="2784"/>
      <c r="G31" s="2784"/>
      <c r="H31" s="2785"/>
      <c r="I31" s="2786"/>
      <c r="J31" s="1693">
        <f>'แบบข้อตกลง TOR (ป.วช.-01)'!K40</f>
        <v>0</v>
      </c>
      <c r="K31" s="1694">
        <f>IF('แบบข้อตกลง TOR (ป.วช.-01)'!I40=0,0,IF(5-(('แบบข้อตกลง TOR (ป.วช.-01)'!I40-E31)/('แบบข้อตกลง TOR (ป.วช.-01)'!I40-'แบบข้อตกลง TOR (ป.วช.-01)'!L40)*5)&gt;5,5,5-(('แบบข้อตกลง TOR (ป.วช.-01)'!I40-E31)/('แบบข้อตกลง TOR (ป.วช.-01)'!I40-'แบบข้อตกลง TOR (ป.วช.-01)'!L40)*5)))</f>
        <v>0</v>
      </c>
      <c r="L31" s="1695">
        <f>J31*K31</f>
        <v>0</v>
      </c>
      <c r="M31" s="70"/>
      <c r="N31" s="59"/>
      <c r="O31" s="60"/>
      <c r="P31" s="60"/>
      <c r="Q31" s="60"/>
      <c r="R31" s="60"/>
      <c r="S31" s="60"/>
      <c r="T31" s="60"/>
      <c r="U31" s="61"/>
    </row>
    <row r="32" spans="1:37" s="55" customFormat="1" ht="25.5" customHeight="1" thickBot="1" x14ac:dyDescent="0.6">
      <c r="A32" s="1691" t="s">
        <v>68</v>
      </c>
      <c r="B32" s="2781" t="s">
        <v>69</v>
      </c>
      <c r="C32" s="2782"/>
      <c r="D32" s="1696">
        <f>'แบบข้อตกลง TOR (ป.วช.-01)'!I41</f>
        <v>0</v>
      </c>
      <c r="E32" s="2783">
        <f>สรุปภาระงาน!G29</f>
        <v>0</v>
      </c>
      <c r="F32" s="2784"/>
      <c r="G32" s="2784"/>
      <c r="H32" s="2785"/>
      <c r="I32" s="2786"/>
      <c r="J32" s="1693">
        <f>'แบบข้อตกลง TOR (ป.วช.-01)'!K41</f>
        <v>0</v>
      </c>
      <c r="K32" s="1694">
        <f>IF('แบบข้อตกลง TOR (ป.วช.-01)'!I41=0,0,IF(5-(('แบบข้อตกลง TOR (ป.วช.-01)'!I41-E32)/('แบบข้อตกลง TOR (ป.วช.-01)'!I41-'แบบข้อตกลง TOR (ป.วช.-01)'!L41)*5)&gt;5,5,5-(('แบบข้อตกลง TOR (ป.วช.-01)'!I41-E32)/('แบบข้อตกลง TOR (ป.วช.-01)'!I41-'แบบข้อตกลง TOR (ป.วช.-01)'!L41)*5)))</f>
        <v>0</v>
      </c>
      <c r="L32" s="1695">
        <f>J32*K32</f>
        <v>0</v>
      </c>
      <c r="M32" s="70"/>
      <c r="N32" s="59"/>
      <c r="O32" s="60"/>
      <c r="P32" s="60"/>
      <c r="Q32" s="60"/>
      <c r="R32" s="60"/>
      <c r="S32" s="60"/>
      <c r="T32" s="60"/>
      <c r="U32" s="61"/>
    </row>
    <row r="33" spans="1:21" s="55" customFormat="1" ht="22.5" customHeight="1" thickBot="1" x14ac:dyDescent="0.6">
      <c r="A33" s="1691" t="s">
        <v>70</v>
      </c>
      <c r="B33" s="2781" t="s">
        <v>71</v>
      </c>
      <c r="C33" s="2782"/>
      <c r="D33" s="1696">
        <f>'แบบข้อตกลง TOR (ป.วช.-01)'!I42</f>
        <v>0</v>
      </c>
      <c r="E33" s="2783">
        <f>สรุปภาระงาน!G30</f>
        <v>0</v>
      </c>
      <c r="F33" s="2784"/>
      <c r="G33" s="2784"/>
      <c r="H33" s="2785"/>
      <c r="I33" s="2786"/>
      <c r="J33" s="1693">
        <f>'แบบข้อตกลง TOR (ป.วช.-01)'!K42</f>
        <v>0</v>
      </c>
      <c r="K33" s="1694">
        <f>IF('แบบข้อตกลง TOR (ป.วช.-01)'!I42=0,0,IF(5-(('แบบข้อตกลง TOR (ป.วช.-01)'!I42-E33)/('แบบข้อตกลง TOR (ป.วช.-01)'!I42-'แบบข้อตกลง TOR (ป.วช.-01)'!L42)*5)&gt;5,5,5-(('แบบข้อตกลง TOR (ป.วช.-01)'!I42-E33)/('แบบข้อตกลง TOR (ป.วช.-01)'!I42-'แบบข้อตกลง TOR (ป.วช.-01)'!L42)*5)))</f>
        <v>0</v>
      </c>
      <c r="L33" s="1695">
        <f>J33*K33</f>
        <v>0</v>
      </c>
      <c r="N33" s="59"/>
      <c r="O33" s="60"/>
      <c r="P33" s="60"/>
      <c r="Q33" s="60"/>
      <c r="R33" s="60"/>
      <c r="S33" s="60"/>
      <c r="T33" s="60"/>
      <c r="U33" s="61"/>
    </row>
    <row r="34" spans="1:21" s="55" customFormat="1" ht="22.5" x14ac:dyDescent="0.55000000000000004">
      <c r="A34" s="2789" t="s">
        <v>256</v>
      </c>
      <c r="B34" s="2790"/>
      <c r="C34" s="2790"/>
      <c r="D34" s="2790"/>
      <c r="E34" s="2790"/>
      <c r="F34" s="2790"/>
      <c r="G34" s="2790"/>
      <c r="H34" s="2791"/>
      <c r="I34" s="2791"/>
      <c r="J34" s="2790"/>
      <c r="K34" s="2792"/>
      <c r="L34" s="1697">
        <f>SUM(L30:L33)/5</f>
        <v>0</v>
      </c>
      <c r="N34" s="75"/>
      <c r="O34" s="75"/>
      <c r="P34" s="75"/>
      <c r="Q34" s="75"/>
      <c r="R34" s="75"/>
      <c r="S34" s="75"/>
      <c r="T34" s="75"/>
      <c r="U34" s="75"/>
    </row>
    <row r="35" spans="1:21" s="55" customFormat="1" ht="24.75" customHeight="1" x14ac:dyDescent="0.55000000000000004">
      <c r="A35" s="1690" t="s">
        <v>73</v>
      </c>
      <c r="B35" s="2793" t="str">
        <f>'แบบข้อตกลง TOR (ป.วช.-01)'!B44:Q44</f>
        <v>ภาระงานเชิงคุณภาพ (ร้อยละ 10)</v>
      </c>
      <c r="C35" s="2793"/>
      <c r="D35" s="2793"/>
      <c r="E35" s="2793"/>
      <c r="F35" s="2793"/>
      <c r="G35" s="2793"/>
      <c r="H35" s="2793"/>
      <c r="I35" s="2793"/>
      <c r="J35" s="2793"/>
      <c r="K35" s="2793"/>
      <c r="L35" s="2794"/>
    </row>
    <row r="36" spans="1:21" s="55" customFormat="1" ht="31.5" x14ac:dyDescent="0.55000000000000004">
      <c r="A36" s="2525" t="s">
        <v>52</v>
      </c>
      <c r="B36" s="2525"/>
      <c r="C36" s="2525"/>
      <c r="D36" s="2518" t="s">
        <v>238</v>
      </c>
      <c r="E36" s="2526" t="s">
        <v>239</v>
      </c>
      <c r="F36" s="2526"/>
      <c r="G36" s="2527"/>
      <c r="H36" s="2530" t="s">
        <v>240</v>
      </c>
      <c r="I36" s="2531"/>
      <c r="J36" s="2518" t="s">
        <v>241</v>
      </c>
      <c r="K36" s="2518" t="s">
        <v>242</v>
      </c>
      <c r="L36" s="1686" t="s">
        <v>257</v>
      </c>
    </row>
    <row r="37" spans="1:21" s="55" customFormat="1" ht="22.5" x14ac:dyDescent="0.55000000000000004">
      <c r="A37" s="2525"/>
      <c r="B37" s="2525"/>
      <c r="C37" s="2525"/>
      <c r="D37" s="2519"/>
      <c r="E37" s="2528"/>
      <c r="F37" s="2528"/>
      <c r="G37" s="2529"/>
      <c r="H37" s="2532"/>
      <c r="I37" s="2533"/>
      <c r="J37" s="2519"/>
      <c r="K37" s="2519"/>
      <c r="L37" s="1687"/>
    </row>
    <row r="38" spans="1:21" s="55" customFormat="1" ht="23.25" thickBot="1" x14ac:dyDescent="0.6">
      <c r="A38" s="1698" t="s">
        <v>63</v>
      </c>
      <c r="B38" s="1699" t="s">
        <v>64</v>
      </c>
      <c r="C38" s="1700"/>
      <c r="D38" s="1701">
        <f>'แบบข้อตกลง TOR (ป.วช.-01)'!I47</f>
        <v>0</v>
      </c>
      <c r="E38" s="2539"/>
      <c r="F38" s="2540"/>
      <c r="G38" s="2540"/>
      <c r="H38" s="2542"/>
      <c r="I38" s="2542"/>
      <c r="J38" s="1702">
        <f>'แบบข้อตกลง TOR (ป.วช.-01)'!K47</f>
        <v>10</v>
      </c>
      <c r="K38" s="1701">
        <f>SUM(K39:K46)</f>
        <v>0</v>
      </c>
      <c r="L38" s="1703"/>
    </row>
    <row r="39" spans="1:21" s="55" customFormat="1" ht="53.25" customHeight="1" thickBot="1" x14ac:dyDescent="0.6">
      <c r="A39" s="2751" t="s">
        <v>79</v>
      </c>
      <c r="B39" s="2549" t="str">
        <f>'แบบข้อตกลง TOR (ป.วช.-01)'!B48:C48</f>
        <v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และ</v>
      </c>
      <c r="C39" s="2550"/>
      <c r="D39" s="2534">
        <f>'แบบข้อตกลง TOR (ป.วช.-01)'!AB22</f>
        <v>0</v>
      </c>
      <c r="E39" s="2545" t="str">
        <f>สรุปภาระงาน!K62</f>
        <v>ไม่มี</v>
      </c>
      <c r="F39" s="2546"/>
      <c r="G39" s="2546"/>
      <c r="H39" s="2749"/>
      <c r="I39" s="2524"/>
      <c r="J39" s="2752">
        <f>'แบบข้อตกลง TOR (ป.วช.-01)'!K48</f>
        <v>1</v>
      </c>
      <c r="K39" s="2534">
        <f>สรุปภาระงาน!L62</f>
        <v>0</v>
      </c>
      <c r="L39" s="2748">
        <f>K39</f>
        <v>0</v>
      </c>
    </row>
    <row r="40" spans="1:21" s="55" customFormat="1" ht="54.75" customHeight="1" thickBot="1" x14ac:dyDescent="0.6">
      <c r="A40" s="2751"/>
      <c r="B40" s="2767" t="str">
        <f>'แบบข้อตกลง TOR (ป.วช.-01)'!B49:C49</f>
        <v xml:space="preserve"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</v>
      </c>
      <c r="C40" s="2550"/>
      <c r="D40" s="2534"/>
      <c r="E40" s="2545" t="str">
        <f>สรุปภาระงาน!K63</f>
        <v>ไม่มี</v>
      </c>
      <c r="F40" s="2546"/>
      <c r="G40" s="2546"/>
      <c r="H40" s="2749"/>
      <c r="I40" s="2524"/>
      <c r="J40" s="2752"/>
      <c r="K40" s="2534"/>
      <c r="L40" s="2748"/>
    </row>
    <row r="41" spans="1:21" s="55" customFormat="1" ht="52.5" customHeight="1" thickBot="1" x14ac:dyDescent="0.6">
      <c r="A41" s="2751" t="s">
        <v>84</v>
      </c>
      <c r="B41" s="2767" t="str">
        <f>'แบบข้อตกลง TOR (ป.วช.-01)'!B50:C50</f>
        <v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และ/หรือ</v>
      </c>
      <c r="C41" s="2550"/>
      <c r="D41" s="2534">
        <f>'แบบข้อตกลง TOR (ป.วช.-01)'!AD22</f>
        <v>0</v>
      </c>
      <c r="E41" s="2545" t="str">
        <f>สรุปภาระงาน!K64</f>
        <v>ไม่มี</v>
      </c>
      <c r="F41" s="2546"/>
      <c r="G41" s="2546"/>
      <c r="H41" s="2749"/>
      <c r="I41" s="2524"/>
      <c r="J41" s="2752">
        <f>'แบบข้อตกลง TOR (ป.วช.-01)'!K50</f>
        <v>3</v>
      </c>
      <c r="K41" s="2534">
        <f>สรุปภาระงาน!L64</f>
        <v>0</v>
      </c>
      <c r="L41" s="2748">
        <f>K41</f>
        <v>0</v>
      </c>
    </row>
    <row r="42" spans="1:21" s="55" customFormat="1" ht="22.5" customHeight="1" thickBot="1" x14ac:dyDescent="0.6">
      <c r="A42" s="2751"/>
      <c r="B42" s="2766" t="str">
        <f>'แบบข้อตกลง TOR (ป.วช.-01)'!B51:C51</f>
        <v>มีทักษะการเรียนรู้ในศตวรรษที่ 21</v>
      </c>
      <c r="C42" s="2544"/>
      <c r="D42" s="2534"/>
      <c r="E42" s="2545" t="str">
        <f>สรุปภาระงาน!K65</f>
        <v>ไม่มี</v>
      </c>
      <c r="F42" s="2546"/>
      <c r="G42" s="2546"/>
      <c r="H42" s="2749"/>
      <c r="I42" s="2524"/>
      <c r="J42" s="2752"/>
      <c r="K42" s="2534"/>
      <c r="L42" s="2748"/>
    </row>
    <row r="43" spans="1:21" s="55" customFormat="1" ht="36" customHeight="1" thickBot="1" x14ac:dyDescent="0.6">
      <c r="A43" s="2774" t="s">
        <v>88</v>
      </c>
      <c r="B43" s="2767" t="str">
        <f>'แบบข้อตกลง TOR (ป.วช.-01)'!B52:C52</f>
        <v>มีการรายงานผลการดำเนินการของรายวิชา (มคอ.5) ทุกจำนวนรายวิชาที่สอน ในภาคการศึกษาที่ผ่านมา</v>
      </c>
      <c r="C43" s="2550"/>
      <c r="D43" s="2770">
        <f>'แบบข้อตกลง TOR (ป.วช.-01)'!AF22</f>
        <v>0</v>
      </c>
      <c r="E43" s="2545" t="str">
        <f>สรุปภาระงาน!K66</f>
        <v>ไม่มี</v>
      </c>
      <c r="F43" s="2546"/>
      <c r="G43" s="2546"/>
      <c r="H43" s="2749"/>
      <c r="I43" s="2524"/>
      <c r="J43" s="2768">
        <f>'แบบข้อตกลง TOR (ป.วช.-01)'!K52</f>
        <v>1</v>
      </c>
      <c r="K43" s="2770">
        <f>สรุปภาระงาน!L66</f>
        <v>0</v>
      </c>
      <c r="L43" s="2772">
        <f>K43</f>
        <v>0</v>
      </c>
    </row>
    <row r="44" spans="1:21" s="55" customFormat="1" ht="53.25" customHeight="1" thickBot="1" x14ac:dyDescent="0.6">
      <c r="A44" s="2775"/>
      <c r="B44" s="2767" t="str">
        <f>'แบบข้อตกลง TOR (ป.วช.-01)'!B53:C53</f>
        <v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</v>
      </c>
      <c r="C44" s="2550"/>
      <c r="D44" s="2771"/>
      <c r="E44" s="2545" t="str">
        <f>สรุปภาระงาน!K67</f>
        <v>ไม่มี</v>
      </c>
      <c r="F44" s="2546"/>
      <c r="G44" s="2546"/>
      <c r="H44" s="2749"/>
      <c r="I44" s="2524"/>
      <c r="J44" s="2769"/>
      <c r="K44" s="2771"/>
      <c r="L44" s="2773"/>
    </row>
    <row r="45" spans="1:21" s="55" customFormat="1" ht="36" customHeight="1" thickBot="1" x14ac:dyDescent="0.6">
      <c r="A45" s="1704" t="s">
        <v>91</v>
      </c>
      <c r="B45" s="2549" t="s">
        <v>258</v>
      </c>
      <c r="C45" s="2550"/>
      <c r="D45" s="1705">
        <f>'แบบข้อตกลง TOR (ป.วช.-01)'!AH22</f>
        <v>0</v>
      </c>
      <c r="E45" s="2551" t="str">
        <f>สรุปภาระงาน!K68</f>
        <v>ไม่มี</v>
      </c>
      <c r="F45" s="2546"/>
      <c r="G45" s="2546"/>
      <c r="H45" s="2749"/>
      <c r="I45" s="2524"/>
      <c r="J45" s="1706">
        <f>'แบบข้อตกลง TOR (ป.วช.-01)'!K54</f>
        <v>3</v>
      </c>
      <c r="K45" s="1705">
        <f>สรุปภาระงาน!L68</f>
        <v>0</v>
      </c>
      <c r="L45" s="1707">
        <f>K45</f>
        <v>0</v>
      </c>
    </row>
    <row r="46" spans="1:21" s="55" customFormat="1" ht="54.75" customHeight="1" thickBot="1" x14ac:dyDescent="0.6">
      <c r="A46" s="1704" t="s">
        <v>94</v>
      </c>
      <c r="B46" s="2549" t="str">
        <f>'แบบข้อตกลง TOR (ป.วช.-01)'!B57:C57</f>
        <v>มีผลการประเมินความพึงพอใจของนักศึกษาต่ออาจารย์ผู้สอนทุกกลุ่ม/รายวิชาของภาคการศึกษาที่ผ่านมา ในระดับดีขึ้นไป</v>
      </c>
      <c r="C46" s="2550"/>
      <c r="D46" s="1705">
        <f>'แบบข้อตกลง TOR (ป.วช.-01)'!AI22</f>
        <v>0</v>
      </c>
      <c r="E46" s="2551" t="str">
        <f>สรุปภาระงาน!K69</f>
        <v>ไม่มี</v>
      </c>
      <c r="F46" s="2546"/>
      <c r="G46" s="2546"/>
      <c r="H46" s="2749"/>
      <c r="I46" s="2524"/>
      <c r="J46" s="1706">
        <f>'แบบข้อตกลง TOR (ป.วช.-01)'!K57</f>
        <v>2</v>
      </c>
      <c r="K46" s="1705">
        <f>สรุปภาระงาน!L69</f>
        <v>0</v>
      </c>
      <c r="L46" s="1707">
        <f>K46</f>
        <v>0</v>
      </c>
    </row>
    <row r="47" spans="1:21" s="55" customFormat="1" ht="31.5" x14ac:dyDescent="0.55000000000000004">
      <c r="A47" s="2525" t="s">
        <v>52</v>
      </c>
      <c r="B47" s="2525"/>
      <c r="C47" s="2525"/>
      <c r="D47" s="2518" t="s">
        <v>238</v>
      </c>
      <c r="E47" s="2526" t="s">
        <v>239</v>
      </c>
      <c r="F47" s="2526"/>
      <c r="G47" s="2527"/>
      <c r="H47" s="2753" t="s">
        <v>240</v>
      </c>
      <c r="I47" s="2754"/>
      <c r="J47" s="2518" t="s">
        <v>241</v>
      </c>
      <c r="K47" s="2518" t="s">
        <v>242</v>
      </c>
      <c r="L47" s="1686" t="s">
        <v>257</v>
      </c>
    </row>
    <row r="48" spans="1:21" s="55" customFormat="1" ht="22.5" x14ac:dyDescent="0.55000000000000004">
      <c r="A48" s="2525"/>
      <c r="B48" s="2525"/>
      <c r="C48" s="2525"/>
      <c r="D48" s="2519"/>
      <c r="E48" s="2528"/>
      <c r="F48" s="2528"/>
      <c r="G48" s="2529"/>
      <c r="H48" s="2532"/>
      <c r="I48" s="2533"/>
      <c r="J48" s="2519"/>
      <c r="K48" s="2519"/>
      <c r="L48" s="1687"/>
    </row>
    <row r="49" spans="1:21" s="55" customFormat="1" ht="23.25" thickBot="1" x14ac:dyDescent="0.6">
      <c r="A49" s="1708" t="s">
        <v>66</v>
      </c>
      <c r="B49" s="1699" t="s">
        <v>67</v>
      </c>
      <c r="C49" s="1700"/>
      <c r="D49" s="1701">
        <f>'แบบข้อตกลง TOR (ป.วช.-01)'!I58</f>
        <v>0</v>
      </c>
      <c r="E49" s="2539"/>
      <c r="F49" s="2540"/>
      <c r="G49" s="2540"/>
      <c r="H49" s="2542"/>
      <c r="I49" s="2542"/>
      <c r="J49" s="1702">
        <f>'แบบข้อตกลง TOR (ป.วช.-01)'!K58</f>
        <v>10</v>
      </c>
      <c r="K49" s="1701">
        <f>SUM(K50:K51)</f>
        <v>0</v>
      </c>
      <c r="L49" s="1703"/>
    </row>
    <row r="50" spans="1:21" s="55" customFormat="1" ht="23.25" thickBot="1" x14ac:dyDescent="0.6">
      <c r="A50" s="1722" t="s">
        <v>79</v>
      </c>
      <c r="B50" s="2543" t="s">
        <v>97</v>
      </c>
      <c r="C50" s="2544"/>
      <c r="D50" s="1705">
        <f>'แบบข้อตกลง TOR (ป.วช.-01)'!AJ22</f>
        <v>0</v>
      </c>
      <c r="E50" s="2545" t="str">
        <f>สรุปภาระงาน!K81</f>
        <v>ไม่มี</v>
      </c>
      <c r="F50" s="2546"/>
      <c r="G50" s="2546"/>
      <c r="H50" s="2547"/>
      <c r="I50" s="2548"/>
      <c r="J50" s="1706">
        <f>'แบบข้อตกลง TOR (ป.วช.-01)'!K59</f>
        <v>5</v>
      </c>
      <c r="K50" s="1723">
        <f>สรุปภาระงาน!L81</f>
        <v>0</v>
      </c>
      <c r="L50" s="1707">
        <f t="shared" ref="L50:L56" si="2">K50</f>
        <v>0</v>
      </c>
    </row>
    <row r="51" spans="1:21" s="55" customFormat="1" ht="22.5" customHeight="1" thickBot="1" x14ac:dyDescent="0.6">
      <c r="A51" s="1724" t="s">
        <v>84</v>
      </c>
      <c r="B51" s="2543" t="s">
        <v>259</v>
      </c>
      <c r="C51" s="2544"/>
      <c r="D51" s="1705">
        <f>'แบบข้อตกลง TOR (ป.วช.-01)'!AK22</f>
        <v>0</v>
      </c>
      <c r="E51" s="2545" t="str">
        <f>สรุปภาระงาน!K82</f>
        <v>ไม่มี</v>
      </c>
      <c r="F51" s="2546"/>
      <c r="G51" s="2546"/>
      <c r="H51" s="2547"/>
      <c r="I51" s="2548"/>
      <c r="J51" s="1706">
        <f>'แบบข้อตกลง TOR (ป.วช.-01)'!K60</f>
        <v>5</v>
      </c>
      <c r="K51" s="1723">
        <f>'2. วิจัยและงานวิชาการอื่น'!I8</f>
        <v>0</v>
      </c>
      <c r="L51" s="1707">
        <f t="shared" si="2"/>
        <v>0</v>
      </c>
    </row>
    <row r="52" spans="1:21" s="55" customFormat="1" ht="22.5" customHeight="1" x14ac:dyDescent="0.55000000000000004">
      <c r="A52" s="1709"/>
      <c r="B52" s="1725" t="s">
        <v>260</v>
      </c>
      <c r="C52" s="1726" t="s">
        <v>261</v>
      </c>
      <c r="D52" s="1727">
        <f>'แบบข้อตกลง TOR (ป.วช.-01)'!I62</f>
        <v>0</v>
      </c>
      <c r="E52" s="2758">
        <f>'2. วิจัยและงานวิชาการอื่น'!H9</f>
        <v>0</v>
      </c>
      <c r="F52" s="2759"/>
      <c r="G52" s="2759"/>
      <c r="H52" s="2760"/>
      <c r="I52" s="2761"/>
      <c r="J52" s="1728">
        <v>1</v>
      </c>
      <c r="K52" s="1727">
        <f>'2. วิจัยและงานวิชาการอื่น'!I9</f>
        <v>0</v>
      </c>
      <c r="L52" s="1729">
        <f t="shared" si="2"/>
        <v>0</v>
      </c>
    </row>
    <row r="53" spans="1:21" s="55" customFormat="1" ht="22.5" customHeight="1" x14ac:dyDescent="0.55000000000000004">
      <c r="A53" s="1709"/>
      <c r="B53" s="1730" t="s">
        <v>262</v>
      </c>
      <c r="C53" s="1731" t="s">
        <v>261</v>
      </c>
      <c r="D53" s="1732">
        <f>'แบบข้อตกลง TOR (ป.วช.-01)'!I63</f>
        <v>0</v>
      </c>
      <c r="E53" s="2535">
        <f>'2. วิจัยและงานวิชาการอื่น'!H10</f>
        <v>0</v>
      </c>
      <c r="F53" s="2536"/>
      <c r="G53" s="2536"/>
      <c r="H53" s="2762"/>
      <c r="I53" s="2763"/>
      <c r="J53" s="1733">
        <v>2</v>
      </c>
      <c r="K53" s="1732">
        <f>'2. วิจัยและงานวิชาการอื่น'!I10</f>
        <v>0</v>
      </c>
      <c r="L53" s="1734">
        <f t="shared" si="2"/>
        <v>0</v>
      </c>
    </row>
    <row r="54" spans="1:21" s="55" customFormat="1" ht="22.5" customHeight="1" x14ac:dyDescent="0.55000000000000004">
      <c r="A54" s="1709"/>
      <c r="B54" s="1730" t="s">
        <v>263</v>
      </c>
      <c r="C54" s="1731" t="s">
        <v>261</v>
      </c>
      <c r="D54" s="1732">
        <f>'แบบข้อตกลง TOR (ป.วช.-01)'!I64</f>
        <v>0</v>
      </c>
      <c r="E54" s="2535">
        <f>'2. วิจัยและงานวิชาการอื่น'!H11</f>
        <v>0</v>
      </c>
      <c r="F54" s="2536"/>
      <c r="G54" s="2536"/>
      <c r="H54" s="2762"/>
      <c r="I54" s="2763"/>
      <c r="J54" s="1733">
        <v>3</v>
      </c>
      <c r="K54" s="1732">
        <f>'2. วิจัยและงานวิชาการอื่น'!I11</f>
        <v>0</v>
      </c>
      <c r="L54" s="1734">
        <f t="shared" si="2"/>
        <v>0</v>
      </c>
    </row>
    <row r="55" spans="1:21" s="55" customFormat="1" ht="22.5" customHeight="1" x14ac:dyDescent="0.55000000000000004">
      <c r="A55" s="1709"/>
      <c r="B55" s="1730" t="s">
        <v>264</v>
      </c>
      <c r="C55" s="1731" t="s">
        <v>261</v>
      </c>
      <c r="D55" s="1732">
        <f>'แบบข้อตกลง TOR (ป.วช.-01)'!I65</f>
        <v>0</v>
      </c>
      <c r="E55" s="2535">
        <f>'2. วิจัยและงานวิชาการอื่น'!H12</f>
        <v>0</v>
      </c>
      <c r="F55" s="2536"/>
      <c r="G55" s="2536"/>
      <c r="H55" s="2762"/>
      <c r="I55" s="2763"/>
      <c r="J55" s="1733">
        <v>4</v>
      </c>
      <c r="K55" s="1732">
        <f>'2. วิจัยและงานวิชาการอื่น'!I12</f>
        <v>0</v>
      </c>
      <c r="L55" s="1734">
        <f t="shared" si="2"/>
        <v>0</v>
      </c>
    </row>
    <row r="56" spans="1:21" s="55" customFormat="1" ht="22.5" customHeight="1" thickBot="1" x14ac:dyDescent="0.6">
      <c r="A56" s="1710"/>
      <c r="B56" s="1735" t="s">
        <v>265</v>
      </c>
      <c r="C56" s="1736" t="s">
        <v>261</v>
      </c>
      <c r="D56" s="1737">
        <f>'แบบข้อตกลง TOR (ป.วช.-01)'!I66</f>
        <v>0</v>
      </c>
      <c r="E56" s="2537">
        <f>'2. วิจัยและงานวิชาการอื่น'!H13</f>
        <v>0</v>
      </c>
      <c r="F56" s="2538"/>
      <c r="G56" s="2538"/>
      <c r="H56" s="2764"/>
      <c r="I56" s="2765"/>
      <c r="J56" s="1738">
        <v>5</v>
      </c>
      <c r="K56" s="1737">
        <f>'2. วิจัยและงานวิชาการอื่น'!I13</f>
        <v>0</v>
      </c>
      <c r="L56" s="1739">
        <f t="shared" si="2"/>
        <v>0</v>
      </c>
    </row>
    <row r="57" spans="1:21" s="55" customFormat="1" ht="23.25" thickBot="1" x14ac:dyDescent="0.6">
      <c r="A57" s="1708" t="s">
        <v>68</v>
      </c>
      <c r="B57" s="1699" t="s">
        <v>108</v>
      </c>
      <c r="C57" s="1700"/>
      <c r="D57" s="1701">
        <f>'แบบข้อตกลง TOR (ป.วช.-01)'!I67</f>
        <v>0</v>
      </c>
      <c r="E57" s="2539"/>
      <c r="F57" s="2540"/>
      <c r="G57" s="2540"/>
      <c r="H57" s="2541"/>
      <c r="I57" s="2541"/>
      <c r="J57" s="1702">
        <f>'แบบข้อตกลง TOR (ป.วช.-01)'!K67</f>
        <v>5</v>
      </c>
      <c r="K57" s="1702">
        <f>สรุปภาระงาน!L123</f>
        <v>0</v>
      </c>
      <c r="L57" s="1703"/>
      <c r="N57" s="2755" t="s">
        <v>266</v>
      </c>
      <c r="O57" s="2756"/>
      <c r="P57" s="2756"/>
      <c r="Q57" s="2756"/>
      <c r="R57" s="2756"/>
      <c r="S57" s="2756"/>
      <c r="T57" s="2756"/>
      <c r="U57" s="2757"/>
    </row>
    <row r="58" spans="1:21" s="55" customFormat="1" ht="69.75" customHeight="1" thickBot="1" x14ac:dyDescent="0.6">
      <c r="A58" s="1704" t="s">
        <v>79</v>
      </c>
      <c r="B58" s="2549" t="str">
        <f>'แบบข้อตกลง TOR (ป.วช.-01)'!B68:C68</f>
        <v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</v>
      </c>
      <c r="C58" s="2550"/>
      <c r="D58" s="1705">
        <f>'แบบข้อตกลง TOR (ป.วช.-01)'!AP22</f>
        <v>0</v>
      </c>
      <c r="E58" s="2545" t="str">
        <f>สรุปภาระงาน!K120</f>
        <v>ไม่มี</v>
      </c>
      <c r="F58" s="2546"/>
      <c r="G58" s="2546"/>
      <c r="H58" s="2749"/>
      <c r="I58" s="2524"/>
      <c r="J58" s="1706">
        <f>'แบบข้อตกลง TOR (ป.วช.-01)'!K68</f>
        <v>2.5</v>
      </c>
      <c r="K58" s="1705">
        <f>สรุปภาระงาน!L120</f>
        <v>0</v>
      </c>
      <c r="L58" s="1707">
        <f>K58</f>
        <v>0</v>
      </c>
      <c r="N58" s="1668"/>
      <c r="O58" s="1669"/>
      <c r="P58" s="1669"/>
      <c r="Q58" s="1669"/>
      <c r="R58" s="1669"/>
      <c r="S58" s="1669"/>
      <c r="T58" s="1669"/>
      <c r="U58" s="1671"/>
    </row>
    <row r="59" spans="1:21" s="55" customFormat="1" ht="51" customHeight="1" thickBot="1" x14ac:dyDescent="0.6">
      <c r="A59" s="2751" t="s">
        <v>84</v>
      </c>
      <c r="B59" s="2549" t="str">
        <f>'แบบข้อตกลง TOR (ป.วช.-01)'!B71:C71</f>
        <v>มีการบูรณาการงานบริการวิชาการกับการเรียนการสอน เช่น การถ่ายทอดประสบการณ์ จากการบริการวิชาการในชั้นเรียน หรือ</v>
      </c>
      <c r="C59" s="2550"/>
      <c r="D59" s="2534">
        <f>'แบบข้อตกลง TOR (ป.วช.-01)'!AQ22</f>
        <v>0</v>
      </c>
      <c r="E59" s="2545" t="str">
        <f>สรุปภาระงาน!K121</f>
        <v>ไม่มี</v>
      </c>
      <c r="F59" s="2546"/>
      <c r="G59" s="2546"/>
      <c r="H59" s="2749"/>
      <c r="I59" s="2524"/>
      <c r="J59" s="2752">
        <f>'แบบข้อตกลง TOR (ป.วช.-01)'!K71</f>
        <v>2.5</v>
      </c>
      <c r="K59" s="2534">
        <f>สรุปภาระงาน!L121</f>
        <v>0</v>
      </c>
      <c r="L59" s="2748">
        <f>K59</f>
        <v>0</v>
      </c>
      <c r="N59" s="1668"/>
      <c r="O59" s="1669"/>
      <c r="P59" s="1669"/>
      <c r="Q59" s="1669"/>
      <c r="R59" s="1669"/>
      <c r="S59" s="1669"/>
      <c r="T59" s="1669"/>
      <c r="U59" s="1671"/>
    </row>
    <row r="60" spans="1:21" s="55" customFormat="1" ht="41.25" customHeight="1" thickBot="1" x14ac:dyDescent="0.6">
      <c r="A60" s="2751"/>
      <c r="B60" s="2549" t="str">
        <f>'แบบข้อตกลง TOR (ป.วช.-01)'!B72:C72</f>
        <v>มีการบูรณาการงานบริการวิชาการกับงานวิจัย เช่น พัฒนาข้อเสนอโครงการวิจัยจากความต้องการของชุมชนสังคม</v>
      </c>
      <c r="C60" s="2550"/>
      <c r="D60" s="2534"/>
      <c r="E60" s="2545" t="str">
        <f>สรุปภาระงาน!K122</f>
        <v>ไม่มี</v>
      </c>
      <c r="F60" s="2546"/>
      <c r="G60" s="2546"/>
      <c r="H60" s="2749"/>
      <c r="I60" s="2524"/>
      <c r="J60" s="2752"/>
      <c r="K60" s="2534"/>
      <c r="L60" s="2748"/>
      <c r="N60" s="1668"/>
      <c r="O60" s="1669"/>
      <c r="P60" s="1669"/>
      <c r="Q60" s="1669"/>
      <c r="R60" s="1669"/>
      <c r="S60" s="1669"/>
      <c r="T60" s="1669"/>
      <c r="U60" s="1671"/>
    </row>
    <row r="61" spans="1:21" s="55" customFormat="1" ht="22.5" customHeight="1" x14ac:dyDescent="0.55000000000000004">
      <c r="A61" s="2684"/>
      <c r="B61" s="2750"/>
      <c r="C61" s="2750"/>
      <c r="D61" s="1711"/>
      <c r="E61" s="1712"/>
      <c r="F61" s="1712"/>
      <c r="G61" s="1712"/>
      <c r="H61" s="1740"/>
      <c r="I61" s="1741"/>
      <c r="J61" s="1714"/>
      <c r="K61" s="1715" t="s">
        <v>1098</v>
      </c>
      <c r="L61" s="1716">
        <f>SUM(L39:L42)+SUM(L43:L46)+SUM(L50:L51)+SUM(L58:L60)</f>
        <v>0</v>
      </c>
      <c r="N61" s="1668"/>
      <c r="O61" s="1669"/>
      <c r="P61" s="1669"/>
      <c r="Q61" s="1669"/>
      <c r="R61" s="1669"/>
      <c r="S61" s="1669"/>
      <c r="T61" s="1669"/>
      <c r="U61" s="1671"/>
    </row>
    <row r="62" spans="1:21" s="55" customFormat="1" ht="22.5" customHeight="1" x14ac:dyDescent="0.55000000000000004">
      <c r="A62" s="1717"/>
      <c r="B62" s="1718"/>
      <c r="C62" s="1718"/>
      <c r="D62" s="1711"/>
      <c r="E62" s="1712"/>
      <c r="F62" s="1712"/>
      <c r="G62" s="1712"/>
      <c r="H62" s="1713"/>
      <c r="I62" s="1713"/>
      <c r="J62" s="1719"/>
      <c r="K62" s="1715" t="str">
        <f>IF(C11="ไม่มี","(ซ) สรุปคะแนนด้านภาระงานตามพันธกิจ เชิงคุณภาพ","(ซ) สรุปคะแนนด้านภาระงานตามพันธกิจ เชิงคุณภาพ ตามตำแหน่งบริหาร")</f>
        <v>(ซ) สรุปคะแนนด้านภาระงานตามพันธกิจ เชิงคุณภาพ</v>
      </c>
      <c r="L62" s="1720">
        <f>IF(C11="ไม่มี",('แบบข้อตกลง TOR (ป.วช.-01)'!AF17*L61)/'แบบข้อตกลง TOR (ป.วช.-01)'!K73,IF((L61*10)/'แบบข้อตกลง TOR (ป.วช.-01)'!K73 &gt; 'แบบข้อตกลง TOR (ป.วช.-01)'!K74,'แบบข้อตกลง TOR (ป.วช.-01)'!K74,(L61*10)/'แบบข้อตกลง TOR (ป.วช.-01)'!K73))</f>
        <v>0</v>
      </c>
      <c r="N62" s="1668"/>
      <c r="O62" s="1669"/>
      <c r="P62" s="1669"/>
      <c r="Q62" s="1669"/>
      <c r="R62" s="1669"/>
      <c r="S62" s="1669"/>
      <c r="T62" s="1669"/>
      <c r="U62" s="1671"/>
    </row>
    <row r="63" spans="1:21" s="55" customFormat="1" ht="22.5" x14ac:dyDescent="0.55000000000000004">
      <c r="A63" s="2560" t="s">
        <v>268</v>
      </c>
      <c r="B63" s="2561"/>
      <c r="C63" s="2561"/>
      <c r="D63" s="2561"/>
      <c r="E63" s="2561"/>
      <c r="F63" s="2561"/>
      <c r="G63" s="2561"/>
      <c r="H63" s="2561"/>
      <c r="I63" s="2561"/>
      <c r="J63" s="2561"/>
      <c r="K63" s="2562"/>
      <c r="L63" s="1721">
        <f>L34+L62</f>
        <v>0</v>
      </c>
      <c r="N63" s="1668"/>
      <c r="O63" s="1669"/>
      <c r="P63" s="1669"/>
      <c r="Q63" s="1669"/>
      <c r="R63" s="1669"/>
      <c r="S63" s="1669"/>
      <c r="T63" s="1669"/>
      <c r="U63" s="1671"/>
    </row>
    <row r="64" spans="1:21" s="55" customFormat="1" ht="22.5" customHeight="1" x14ac:dyDescent="0.55000000000000004">
      <c r="A64" s="1742" t="str">
        <f>'แบบข้อตกลง TOR (ป.วช.-01)'!A75:Q75</f>
        <v>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40)</v>
      </c>
      <c r="B64" s="1743"/>
      <c r="C64" s="1742"/>
      <c r="D64" s="1743"/>
      <c r="E64" s="1743"/>
      <c r="F64" s="1743"/>
      <c r="G64" s="1743"/>
      <c r="H64" s="1743"/>
      <c r="I64" s="1743"/>
      <c r="J64" s="1743"/>
      <c r="K64" s="1743"/>
      <c r="L64" s="1744"/>
      <c r="N64" s="59"/>
      <c r="O64" s="60"/>
      <c r="P64" s="60"/>
      <c r="Q64" s="60"/>
      <c r="R64" s="60"/>
      <c r="S64" s="60"/>
      <c r="T64" s="60"/>
      <c r="U64" s="61"/>
    </row>
    <row r="65" spans="1:22" s="55" customFormat="1" ht="31.5" x14ac:dyDescent="0.55000000000000004">
      <c r="A65" s="2563" t="s">
        <v>52</v>
      </c>
      <c r="B65" s="2563"/>
      <c r="C65" s="2563"/>
      <c r="D65" s="2564" t="s">
        <v>238</v>
      </c>
      <c r="E65" s="2566" t="s">
        <v>239</v>
      </c>
      <c r="F65" s="2567"/>
      <c r="G65" s="2568"/>
      <c r="H65" s="2572" t="s">
        <v>240</v>
      </c>
      <c r="I65" s="2573"/>
      <c r="J65" s="2564" t="s">
        <v>269</v>
      </c>
      <c r="K65" s="2564" t="s">
        <v>242</v>
      </c>
      <c r="L65" s="1745" t="s">
        <v>255</v>
      </c>
      <c r="N65" s="59"/>
      <c r="O65" s="60"/>
      <c r="P65" s="60"/>
      <c r="Q65" s="60"/>
      <c r="R65" s="60"/>
      <c r="S65" s="60"/>
      <c r="T65" s="60"/>
      <c r="U65" s="61"/>
    </row>
    <row r="66" spans="1:22" s="76" customFormat="1" ht="22.5" x14ac:dyDescent="0.55000000000000004">
      <c r="A66" s="2563"/>
      <c r="B66" s="2563"/>
      <c r="C66" s="2563"/>
      <c r="D66" s="2565"/>
      <c r="E66" s="2569"/>
      <c r="F66" s="2570"/>
      <c r="G66" s="2571"/>
      <c r="H66" s="2574"/>
      <c r="I66" s="2575"/>
      <c r="J66" s="2565"/>
      <c r="K66" s="2565"/>
      <c r="L66" s="1746"/>
      <c r="N66" s="59"/>
      <c r="O66" s="60"/>
      <c r="P66" s="60"/>
      <c r="Q66" s="60"/>
      <c r="R66" s="60"/>
      <c r="S66" s="60"/>
      <c r="T66" s="60"/>
      <c r="U66" s="61"/>
    </row>
    <row r="67" spans="1:22" s="55" customFormat="1" ht="22.5" x14ac:dyDescent="0.55000000000000004">
      <c r="A67" s="2126" t="s">
        <v>1179</v>
      </c>
      <c r="B67" s="1753"/>
      <c r="C67" s="2126"/>
      <c r="D67" s="2181"/>
      <c r="E67" s="2182"/>
      <c r="F67" s="2183"/>
      <c r="G67" s="2184"/>
      <c r="H67" s="2182"/>
      <c r="I67" s="2184"/>
      <c r="J67" s="2181">
        <f>IF('แบบข้อตกลง TOR (ป.วช.-01)'!K78&lt;&gt;"",'แบบข้อตกลง TOR (ป.วช.-01)'!K78,"")</f>
        <v>25</v>
      </c>
      <c r="K67" s="2181"/>
      <c r="L67" s="2181"/>
      <c r="N67" s="67"/>
      <c r="O67" s="68"/>
      <c r="P67" s="68"/>
      <c r="Q67" s="68"/>
      <c r="R67" s="68"/>
      <c r="S67" s="68"/>
      <c r="T67" s="68"/>
      <c r="U67" s="69"/>
    </row>
    <row r="68" spans="1:22" s="55" customFormat="1" ht="22.5" x14ac:dyDescent="0.55000000000000004">
      <c r="A68" s="2130"/>
      <c r="B68" s="2131" t="s">
        <v>1180</v>
      </c>
      <c r="C68" s="2132"/>
      <c r="D68" s="2133"/>
      <c r="E68" s="2558"/>
      <c r="F68" s="2558"/>
      <c r="G68" s="2558"/>
      <c r="H68" s="2559"/>
      <c r="I68" s="2559"/>
      <c r="J68" s="2185">
        <f>IF('แบบข้อตกลง TOR (ป.วช.-01)'!K79&lt;&gt;"",'แบบข้อตกลง TOR (ป.วช.-01)'!K79,"")</f>
        <v>10</v>
      </c>
      <c r="K68" s="2133"/>
      <c r="L68" s="2134"/>
    </row>
    <row r="69" spans="1:22" s="55" customFormat="1" ht="54.75" customHeight="1" x14ac:dyDescent="0.55000000000000004">
      <c r="A69" s="2577"/>
      <c r="B69" s="2578"/>
      <c r="C69" s="2579"/>
      <c r="D69" s="2127"/>
      <c r="E69" s="2580"/>
      <c r="F69" s="2581"/>
      <c r="G69" s="2582"/>
      <c r="H69" s="2583"/>
      <c r="I69" s="2584"/>
      <c r="J69" s="2127"/>
      <c r="K69" s="2128"/>
      <c r="L69" s="2129"/>
    </row>
    <row r="70" spans="1:22" s="55" customFormat="1" ht="22.5" x14ac:dyDescent="0.55000000000000004">
      <c r="A70" s="2130"/>
      <c r="B70" s="2131" t="s">
        <v>1181</v>
      </c>
      <c r="C70" s="2132"/>
      <c r="D70" s="2133"/>
      <c r="E70" s="2558"/>
      <c r="F70" s="2558"/>
      <c r="G70" s="2558"/>
      <c r="H70" s="2559"/>
      <c r="I70" s="2559"/>
      <c r="J70" s="2185">
        <f>IF('แบบข้อตกลง TOR (ป.วช.-01)'!K81&lt;&gt;"",'แบบข้อตกลง TOR (ป.วช.-01)'!K81,"")</f>
        <v>15</v>
      </c>
      <c r="K70" s="2133"/>
      <c r="L70" s="2134"/>
    </row>
    <row r="71" spans="1:22" s="55" customFormat="1" ht="54.75" customHeight="1" x14ac:dyDescent="0.55000000000000004">
      <c r="A71" s="2577"/>
      <c r="B71" s="2578"/>
      <c r="C71" s="2579"/>
      <c r="D71" s="2127"/>
      <c r="E71" s="2580"/>
      <c r="F71" s="2581"/>
      <c r="G71" s="2582"/>
      <c r="H71" s="2583"/>
      <c r="I71" s="2584"/>
      <c r="J71" s="2127"/>
      <c r="K71" s="2128"/>
      <c r="L71" s="2129"/>
    </row>
    <row r="72" spans="1:22" s="55" customFormat="1" ht="22.5" x14ac:dyDescent="0.55000000000000004">
      <c r="A72" s="1754" t="s">
        <v>1182</v>
      </c>
      <c r="B72" s="2125"/>
      <c r="C72" s="1754"/>
      <c r="D72" s="2186"/>
      <c r="E72" s="2189"/>
      <c r="F72" s="2190"/>
      <c r="G72" s="2191"/>
      <c r="H72" s="2192"/>
      <c r="I72" s="2191"/>
      <c r="J72" s="2193">
        <f>IF('แบบข้อตกลง TOR (ป.วช.-01)'!K85&lt;&gt;"",'แบบข้อตกลง TOR (ป.วช.-01)'!K85,"")</f>
        <v>5</v>
      </c>
      <c r="K72" s="2187"/>
      <c r="L72" s="2188"/>
    </row>
    <row r="73" spans="1:22" s="55" customFormat="1" ht="22.5" x14ac:dyDescent="0.55000000000000004">
      <c r="A73" s="2241" t="str">
        <f>'แบบข้อตกลง TOR (ป.วช.-01)'!A86:C86</f>
        <v>ผลการประเมินการประกันคุณภาพระดับคณะ</v>
      </c>
      <c r="B73" s="2576"/>
      <c r="C73" s="2576"/>
      <c r="D73" s="2615"/>
      <c r="E73" s="2609"/>
      <c r="F73" s="2610"/>
      <c r="G73" s="2611"/>
      <c r="H73" s="2605"/>
      <c r="I73" s="2606"/>
      <c r="J73" s="2603">
        <f>IF('แบบข้อตกลง TOR (ป.วช.-01)'!K85&lt;&gt;"",'แบบข้อตกลง TOR (ป.วช.-01)'!K85,"")</f>
        <v>5</v>
      </c>
      <c r="K73" s="2601"/>
      <c r="L73" s="2599">
        <f>IFERROR(J73*K73,0)/5</f>
        <v>0</v>
      </c>
    </row>
    <row r="74" spans="1:22" s="55" customFormat="1" ht="22.5" x14ac:dyDescent="0.55000000000000004">
      <c r="A74" s="2597" t="str">
        <f>'แบบข้อตกลง TOR (ป.วช.-01)'!A87:C87</f>
        <v>ประจำปี......</v>
      </c>
      <c r="B74" s="2598"/>
      <c r="C74" s="2598"/>
      <c r="D74" s="2616"/>
      <c r="E74" s="2612"/>
      <c r="F74" s="2613"/>
      <c r="G74" s="2614"/>
      <c r="H74" s="2607"/>
      <c r="I74" s="2608"/>
      <c r="J74" s="2604"/>
      <c r="K74" s="2602"/>
      <c r="L74" s="2600"/>
    </row>
    <row r="75" spans="1:22" s="55" customFormat="1" ht="31.5" x14ac:dyDescent="0.55000000000000004">
      <c r="A75" s="2525" t="s">
        <v>52</v>
      </c>
      <c r="B75" s="2525"/>
      <c r="C75" s="2525"/>
      <c r="D75" s="2518" t="s">
        <v>238</v>
      </c>
      <c r="E75" s="2526" t="s">
        <v>239</v>
      </c>
      <c r="F75" s="2526"/>
      <c r="G75" s="2527"/>
      <c r="H75" s="2530" t="s">
        <v>240</v>
      </c>
      <c r="I75" s="2531"/>
      <c r="J75" s="2518" t="s">
        <v>241</v>
      </c>
      <c r="K75" s="2518" t="s">
        <v>242</v>
      </c>
      <c r="L75" s="2151" t="s">
        <v>257</v>
      </c>
    </row>
    <row r="76" spans="1:22" s="55" customFormat="1" ht="22.5" x14ac:dyDescent="0.55000000000000004">
      <c r="A76" s="2525"/>
      <c r="B76" s="2525"/>
      <c r="C76" s="2525"/>
      <c r="D76" s="2519"/>
      <c r="E76" s="2528"/>
      <c r="F76" s="2528"/>
      <c r="G76" s="2529"/>
      <c r="H76" s="2532"/>
      <c r="I76" s="2533"/>
      <c r="J76" s="2519"/>
      <c r="K76" s="2519"/>
      <c r="L76" s="2152"/>
    </row>
    <row r="77" spans="1:22" s="55" customFormat="1" ht="22.5" x14ac:dyDescent="0.55000000000000004">
      <c r="A77" s="2126" t="s">
        <v>1185</v>
      </c>
      <c r="B77" s="1753"/>
      <c r="C77" s="2126"/>
      <c r="D77" s="2180"/>
      <c r="E77" s="1747"/>
      <c r="F77" s="2136"/>
      <c r="G77" s="2194"/>
      <c r="H77" s="1747"/>
      <c r="I77" s="2194"/>
      <c r="J77" s="2181">
        <f>IF('แบบข้อตกลง TOR (ป.วช.-01)'!K88&lt;&gt;"",'แบบข้อตกลง TOR (ป.วช.-01)'!K88,"")</f>
        <v>10</v>
      </c>
      <c r="K77" s="2180"/>
      <c r="L77" s="2180"/>
      <c r="M77" s="76"/>
      <c r="N77" s="89"/>
      <c r="O77" s="89"/>
      <c r="P77" s="89"/>
      <c r="Q77" s="89"/>
      <c r="R77" s="89"/>
      <c r="S77" s="89"/>
      <c r="T77" s="89"/>
      <c r="U77" s="89"/>
      <c r="V77" s="76"/>
    </row>
    <row r="78" spans="1:22" s="55" customFormat="1" ht="22.5" x14ac:dyDescent="0.55000000000000004">
      <c r="A78" s="2130"/>
      <c r="B78" s="2131" t="s">
        <v>1180</v>
      </c>
      <c r="C78" s="2132"/>
      <c r="D78" s="2133"/>
      <c r="E78" s="2558"/>
      <c r="F78" s="2558"/>
      <c r="G78" s="2558"/>
      <c r="H78" s="2559"/>
      <c r="I78" s="2559"/>
      <c r="J78" s="2185">
        <f>IF('แบบข้อตกลง TOR (ป.วช.-01)'!K89&lt;&gt;"",'แบบข้อตกลง TOR (ป.วช.-01)'!K89,"")</f>
        <v>5</v>
      </c>
      <c r="K78" s="2133"/>
      <c r="L78" s="2134"/>
    </row>
    <row r="79" spans="1:22" s="55" customFormat="1" ht="54.75" customHeight="1" x14ac:dyDescent="0.55000000000000004">
      <c r="A79" s="2577"/>
      <c r="B79" s="2578"/>
      <c r="C79" s="2579"/>
      <c r="D79" s="2127"/>
      <c r="E79" s="2580"/>
      <c r="F79" s="2581"/>
      <c r="G79" s="2582"/>
      <c r="H79" s="2583"/>
      <c r="I79" s="2584"/>
      <c r="J79" s="2127"/>
      <c r="K79" s="2128"/>
      <c r="L79" s="2129"/>
    </row>
    <row r="80" spans="1:22" s="55" customFormat="1" ht="22.5" x14ac:dyDescent="0.55000000000000004">
      <c r="A80" s="2130"/>
      <c r="B80" s="2135" t="s">
        <v>1186</v>
      </c>
      <c r="C80" s="2132"/>
      <c r="D80" s="2133"/>
      <c r="E80" s="2558"/>
      <c r="F80" s="2558"/>
      <c r="G80" s="2558"/>
      <c r="H80" s="2559"/>
      <c r="I80" s="2559"/>
      <c r="J80" s="2185">
        <f>IF('แบบข้อตกลง TOR (ป.วช.-01)'!K91&lt;&gt;"",'แบบข้อตกลง TOR (ป.วช.-01)'!K91,"")</f>
        <v>5</v>
      </c>
      <c r="K80" s="2133"/>
      <c r="L80" s="2134"/>
    </row>
    <row r="81" spans="1:12" s="55" customFormat="1" ht="54.75" customHeight="1" x14ac:dyDescent="0.55000000000000004">
      <c r="A81" s="2577"/>
      <c r="B81" s="2578"/>
      <c r="C81" s="2579"/>
      <c r="D81" s="2127"/>
      <c r="E81" s="2580"/>
      <c r="F81" s="2581"/>
      <c r="G81" s="2582"/>
      <c r="H81" s="2583"/>
      <c r="I81" s="2584"/>
      <c r="J81" s="2127"/>
      <c r="K81" s="2128"/>
      <c r="L81" s="2129"/>
    </row>
    <row r="82" spans="1:12" s="55" customFormat="1" ht="22.5" x14ac:dyDescent="0.55000000000000004">
      <c r="A82" s="2555" t="s">
        <v>270</v>
      </c>
      <c r="B82" s="2556"/>
      <c r="C82" s="2556"/>
      <c r="D82" s="2556"/>
      <c r="E82" s="2556"/>
      <c r="F82" s="2556"/>
      <c r="G82" s="2556"/>
      <c r="H82" s="2556"/>
      <c r="I82" s="2556"/>
      <c r="J82" s="2556"/>
      <c r="K82" s="2557"/>
      <c r="L82" s="1748">
        <f>L69+L71+L73+L79+L81</f>
        <v>0</v>
      </c>
    </row>
    <row r="83" spans="1:12" s="55" customFormat="1" ht="22.5" x14ac:dyDescent="0.55000000000000004">
      <c r="A83" s="2669" t="s">
        <v>1103</v>
      </c>
      <c r="B83" s="2670"/>
      <c r="C83" s="2670"/>
      <c r="D83" s="2670"/>
      <c r="E83" s="2670"/>
      <c r="F83" s="2670"/>
      <c r="G83" s="2670"/>
      <c r="H83" s="2670"/>
      <c r="I83" s="2670"/>
      <c r="J83" s="2670"/>
      <c r="K83" s="2671"/>
      <c r="L83" s="1751">
        <f>L25+L63+L82</f>
        <v>0</v>
      </c>
    </row>
    <row r="84" spans="1:12" s="55" customFormat="1" ht="22.5" x14ac:dyDescent="0.55000000000000004">
      <c r="A84" s="1642"/>
      <c r="B84" s="1642"/>
      <c r="C84" s="1660"/>
      <c r="D84" s="1752"/>
      <c r="E84" s="1752"/>
      <c r="F84" s="1752"/>
      <c r="G84" s="1752"/>
      <c r="H84" s="1752"/>
      <c r="I84" s="1752"/>
      <c r="J84" s="1752"/>
      <c r="K84" s="1752"/>
      <c r="L84" s="1642"/>
    </row>
    <row r="85" spans="1:12" s="55" customFormat="1" ht="22.5" customHeight="1" x14ac:dyDescent="0.55000000000000004">
      <c r="A85" s="1661" t="s">
        <v>1116</v>
      </c>
      <c r="B85" s="1642"/>
      <c r="C85" s="1661"/>
      <c r="D85" s="1755"/>
      <c r="E85" s="1755"/>
      <c r="F85" s="1755"/>
      <c r="G85" s="1755"/>
      <c r="H85" s="1755"/>
      <c r="I85" s="1755"/>
      <c r="J85" s="1755"/>
      <c r="K85" s="1755"/>
      <c r="L85" s="1642"/>
    </row>
    <row r="86" spans="1:12" s="55" customFormat="1" ht="22.5" x14ac:dyDescent="0.55000000000000004">
      <c r="A86" s="2637" t="s">
        <v>1106</v>
      </c>
      <c r="B86" s="2637"/>
      <c r="C86" s="2637"/>
      <c r="D86" s="2634" t="s">
        <v>1107</v>
      </c>
      <c r="E86" s="2635"/>
      <c r="F86" s="2635"/>
      <c r="G86" s="2635"/>
      <c r="H86" s="2635"/>
      <c r="I86" s="2635"/>
      <c r="J86" s="2636"/>
      <c r="K86" s="2741" t="s">
        <v>271</v>
      </c>
      <c r="L86" s="2742"/>
    </row>
    <row r="87" spans="1:12" s="55" customFormat="1" ht="44.25" customHeight="1" x14ac:dyDescent="0.55000000000000004">
      <c r="A87" s="2637"/>
      <c r="B87" s="2637"/>
      <c r="C87" s="2637"/>
      <c r="D87" s="2745" t="s">
        <v>272</v>
      </c>
      <c r="E87" s="2746"/>
      <c r="F87" s="2745" t="s">
        <v>273</v>
      </c>
      <c r="G87" s="2747"/>
      <c r="H87" s="1756" t="s">
        <v>274</v>
      </c>
      <c r="I87" s="1757" t="s">
        <v>275</v>
      </c>
      <c r="J87" s="1758" t="s">
        <v>276</v>
      </c>
      <c r="K87" s="2743"/>
      <c r="L87" s="2744"/>
    </row>
    <row r="88" spans="1:12" s="55" customFormat="1" ht="23.25" thickBot="1" x14ac:dyDescent="0.6">
      <c r="A88" s="2736" t="s">
        <v>277</v>
      </c>
      <c r="B88" s="2736"/>
      <c r="C88" s="2736"/>
      <c r="D88" s="1759"/>
      <c r="E88" s="1760"/>
      <c r="F88" s="1761"/>
      <c r="G88" s="1761"/>
      <c r="H88" s="1762"/>
      <c r="I88" s="1763"/>
      <c r="J88" s="1762"/>
      <c r="K88" s="1764"/>
      <c r="L88" s="1765"/>
    </row>
    <row r="89" spans="1:12" s="55" customFormat="1" ht="22.5" x14ac:dyDescent="0.55000000000000004">
      <c r="A89" s="2721" t="s">
        <v>120</v>
      </c>
      <c r="B89" s="2722"/>
      <c r="C89" s="2723"/>
      <c r="D89" s="2724">
        <f>'แบบข้อตกลง TOR (ป.วช.-01)'!D98</f>
        <v>4</v>
      </c>
      <c r="E89" s="2725"/>
      <c r="F89" s="2737">
        <v>1</v>
      </c>
      <c r="G89" s="2738"/>
      <c r="H89" s="1790">
        <v>1</v>
      </c>
      <c r="I89" s="1785" t="str">
        <f>IF(H89-2&lt;0,"",H89-2)</f>
        <v/>
      </c>
      <c r="J89" s="1767" t="str">
        <f>IF(I89="","",I89-D89)</f>
        <v/>
      </c>
      <c r="K89" s="2739"/>
      <c r="L89" s="2740"/>
    </row>
    <row r="90" spans="1:12" s="55" customFormat="1" ht="22.5" x14ac:dyDescent="0.55000000000000004">
      <c r="A90" s="2721" t="s">
        <v>124</v>
      </c>
      <c r="B90" s="2722"/>
      <c r="C90" s="2723"/>
      <c r="D90" s="2535">
        <f>'แบบข้อตกลง TOR (ป.วช.-01)'!D99</f>
        <v>3</v>
      </c>
      <c r="E90" s="2536"/>
      <c r="F90" s="2714">
        <v>1</v>
      </c>
      <c r="G90" s="2715"/>
      <c r="H90" s="1791">
        <v>1</v>
      </c>
      <c r="I90" s="1785" t="str">
        <f>IF(H90-2&lt;0,"",H90-2)</f>
        <v/>
      </c>
      <c r="J90" s="1767" t="str">
        <f>IF(I90="","",I90-D90)</f>
        <v/>
      </c>
      <c r="K90" s="1777"/>
      <c r="L90" s="1778"/>
    </row>
    <row r="91" spans="1:12" s="55" customFormat="1" ht="22.5" x14ac:dyDescent="0.55000000000000004">
      <c r="A91" s="2721" t="s">
        <v>127</v>
      </c>
      <c r="B91" s="2722"/>
      <c r="C91" s="2723"/>
      <c r="D91" s="2535">
        <f>'แบบข้อตกลง TOR (ป.วช.-01)'!D100</f>
        <v>3</v>
      </c>
      <c r="E91" s="2536"/>
      <c r="F91" s="2714">
        <v>1</v>
      </c>
      <c r="G91" s="2715"/>
      <c r="H91" s="1791">
        <v>1</v>
      </c>
      <c r="I91" s="1785" t="str">
        <f>IF(H91-2&lt;0,"",H91-2)</f>
        <v/>
      </c>
      <c r="J91" s="1767" t="str">
        <f>IF(I91="","",I91-D91)</f>
        <v/>
      </c>
      <c r="K91" s="1777"/>
      <c r="L91" s="1778"/>
    </row>
    <row r="92" spans="1:12" s="55" customFormat="1" ht="22.5" x14ac:dyDescent="0.55000000000000004">
      <c r="A92" s="2721" t="s">
        <v>130</v>
      </c>
      <c r="B92" s="2722"/>
      <c r="C92" s="2723"/>
      <c r="D92" s="2535">
        <f>'แบบข้อตกลง TOR (ป.วช.-01)'!D101</f>
        <v>3</v>
      </c>
      <c r="E92" s="2536"/>
      <c r="F92" s="2714">
        <v>1</v>
      </c>
      <c r="G92" s="2715"/>
      <c r="H92" s="1791">
        <v>1</v>
      </c>
      <c r="I92" s="1785" t="str">
        <f>IF(H92-2&lt;0,"",H92-2)</f>
        <v/>
      </c>
      <c r="J92" s="1767" t="str">
        <f>IF(I92="","",I92-D92)</f>
        <v/>
      </c>
      <c r="K92" s="1777"/>
      <c r="L92" s="1778"/>
    </row>
    <row r="93" spans="1:12" s="55" customFormat="1" ht="22.5" x14ac:dyDescent="0.55000000000000004">
      <c r="A93" s="2728" t="s">
        <v>134</v>
      </c>
      <c r="B93" s="2729"/>
      <c r="C93" s="2730"/>
      <c r="D93" s="2537">
        <f>'แบบข้อตกลง TOR (ป.วช.-01)'!D102</f>
        <v>3</v>
      </c>
      <c r="E93" s="2538"/>
      <c r="F93" s="2731">
        <v>1</v>
      </c>
      <c r="G93" s="2732"/>
      <c r="H93" s="1792">
        <v>1</v>
      </c>
      <c r="I93" s="1785" t="str">
        <f>IF(H93-2&lt;0,"",H93-2)</f>
        <v/>
      </c>
      <c r="J93" s="1767" t="str">
        <f>IF(I93="","",I93-D93)</f>
        <v/>
      </c>
      <c r="K93" s="1779"/>
      <c r="L93" s="1780"/>
    </row>
    <row r="94" spans="1:12" s="55" customFormat="1" ht="22.5" x14ac:dyDescent="0.55000000000000004">
      <c r="A94" s="2733" t="s">
        <v>278</v>
      </c>
      <c r="B94" s="2734"/>
      <c r="C94" s="2735"/>
      <c r="D94" s="1759"/>
      <c r="E94" s="1771"/>
      <c r="F94" s="1772"/>
      <c r="G94" s="1773"/>
      <c r="H94" s="1793"/>
      <c r="I94" s="1786"/>
      <c r="J94" s="1766"/>
      <c r="K94" s="1781"/>
      <c r="L94" s="1782"/>
    </row>
    <row r="95" spans="1:12" s="55" customFormat="1" ht="22.5" x14ac:dyDescent="0.55000000000000004">
      <c r="A95" s="2721" t="s">
        <v>121</v>
      </c>
      <c r="B95" s="2722"/>
      <c r="C95" s="2723"/>
      <c r="D95" s="2724">
        <f>'แบบข้อตกลง TOR (ป.วช.-01)'!I98</f>
        <v>3</v>
      </c>
      <c r="E95" s="2725"/>
      <c r="F95" s="2726">
        <v>1</v>
      </c>
      <c r="G95" s="2727"/>
      <c r="H95" s="1794">
        <v>1</v>
      </c>
      <c r="I95" s="1785" t="str">
        <f>IF(H95-2&lt;0,"",H95-2)</f>
        <v/>
      </c>
      <c r="J95" s="1767" t="str">
        <f>IF(I95="","",I95-D95)</f>
        <v/>
      </c>
      <c r="K95" s="1783"/>
      <c r="L95" s="1784"/>
    </row>
    <row r="96" spans="1:12" s="55" customFormat="1" ht="22.5" x14ac:dyDescent="0.55000000000000004">
      <c r="A96" s="2721" t="s">
        <v>125</v>
      </c>
      <c r="B96" s="2722"/>
      <c r="C96" s="2723"/>
      <c r="D96" s="2724">
        <f>'แบบข้อตกลง TOR (ป.วช.-01)'!I99</f>
        <v>3</v>
      </c>
      <c r="E96" s="2725"/>
      <c r="F96" s="2726">
        <v>1</v>
      </c>
      <c r="G96" s="2727"/>
      <c r="H96" s="1791">
        <v>1</v>
      </c>
      <c r="I96" s="1785" t="str">
        <f>IF(H96-2&lt;0,"",H96-2)</f>
        <v/>
      </c>
      <c r="J96" s="1767" t="str">
        <f>IF(I96="","",I96-D96)</f>
        <v/>
      </c>
      <c r="K96" s="1777"/>
      <c r="L96" s="1778"/>
    </row>
    <row r="97" spans="1:20" s="55" customFormat="1" ht="22.5" x14ac:dyDescent="0.55000000000000004">
      <c r="A97" s="2721" t="s">
        <v>128</v>
      </c>
      <c r="B97" s="2722"/>
      <c r="C97" s="2723"/>
      <c r="D97" s="2724">
        <f>'แบบข้อตกลง TOR (ป.วช.-01)'!I100</f>
        <v>3</v>
      </c>
      <c r="E97" s="2725"/>
      <c r="F97" s="2726">
        <v>1</v>
      </c>
      <c r="G97" s="2727"/>
      <c r="H97" s="1791">
        <v>1</v>
      </c>
      <c r="I97" s="1785" t="str">
        <f>IF(H97-2&lt;0,"",H97-2)</f>
        <v/>
      </c>
      <c r="J97" s="1767" t="str">
        <f>IF(I97="","",I97-D97)</f>
        <v/>
      </c>
      <c r="K97" s="1777"/>
      <c r="L97" s="1778"/>
    </row>
    <row r="98" spans="1:20" s="55" customFormat="1" ht="22.5" x14ac:dyDescent="0.55000000000000004">
      <c r="A98" s="2721" t="s">
        <v>131</v>
      </c>
      <c r="B98" s="2722"/>
      <c r="C98" s="2723"/>
      <c r="D98" s="2724">
        <f>'แบบข้อตกลง TOR (ป.วช.-01)'!I101</f>
        <v>3</v>
      </c>
      <c r="E98" s="2725"/>
      <c r="F98" s="2726">
        <v>1</v>
      </c>
      <c r="G98" s="2727"/>
      <c r="H98" s="1791">
        <v>1</v>
      </c>
      <c r="I98" s="1785" t="str">
        <f>IF(H98-2&lt;0,"",H98-2)</f>
        <v/>
      </c>
      <c r="J98" s="1767" t="str">
        <f>IF(I98="","",I98-D98)</f>
        <v/>
      </c>
      <c r="K98" s="1777"/>
      <c r="L98" s="1778"/>
    </row>
    <row r="99" spans="1:20" s="55" customFormat="1" ht="22.5" x14ac:dyDescent="0.55000000000000004">
      <c r="A99" s="2728" t="s">
        <v>135</v>
      </c>
      <c r="B99" s="2729"/>
      <c r="C99" s="2730"/>
      <c r="D99" s="2537">
        <f>'แบบข้อตกลง TOR (ป.วช.-01)'!I102</f>
        <v>4</v>
      </c>
      <c r="E99" s="2538"/>
      <c r="F99" s="2731">
        <v>1</v>
      </c>
      <c r="G99" s="2732"/>
      <c r="H99" s="1795">
        <v>1</v>
      </c>
      <c r="I99" s="1787" t="str">
        <f>IF(H99-2&lt;0,"",H99-2)</f>
        <v/>
      </c>
      <c r="J99" s="1774" t="str">
        <f>IF(I99="","",I99-D99)</f>
        <v/>
      </c>
      <c r="K99" s="1779"/>
      <c r="L99" s="1780"/>
    </row>
    <row r="100" spans="1:20" s="55" customFormat="1" ht="22.5" x14ac:dyDescent="0.55000000000000004">
      <c r="A100" s="1768" t="s">
        <v>279</v>
      </c>
      <c r="B100" s="1769"/>
      <c r="C100" s="1770"/>
      <c r="D100" s="2716"/>
      <c r="E100" s="2717"/>
      <c r="F100" s="2718"/>
      <c r="G100" s="2719"/>
      <c r="H100" s="1796"/>
      <c r="I100" s="1788"/>
      <c r="J100" s="1775" t="str">
        <f t="shared" ref="J100" si="3">IF(OR(I100=0,I100=""),"",I100-D100)</f>
        <v/>
      </c>
      <c r="K100" s="2718"/>
      <c r="L100" s="2719"/>
    </row>
    <row r="101" spans="1:20" s="55" customFormat="1" x14ac:dyDescent="0.6">
      <c r="A101" s="2709" t="s">
        <v>122</v>
      </c>
      <c r="B101" s="2710"/>
      <c r="C101" s="2711"/>
      <c r="D101" s="2713" t="str">
        <f>'แบบข้อตกลง TOR (ป.วช.-01)'!N98</f>
        <v/>
      </c>
      <c r="E101" s="2720"/>
      <c r="F101" s="2714">
        <v>1</v>
      </c>
      <c r="G101" s="2715"/>
      <c r="H101" s="1791">
        <v>1</v>
      </c>
      <c r="I101" s="1789" t="str">
        <f>IF(H101-2&lt;0,"",H101-2)</f>
        <v/>
      </c>
      <c r="J101" s="1776" t="str">
        <f>IFERROR(IF(I101="","",I101-D101),"")</f>
        <v/>
      </c>
      <c r="K101" s="2707"/>
      <c r="L101" s="2708"/>
      <c r="N101" s="54"/>
      <c r="O101" s="54"/>
      <c r="P101" s="54"/>
      <c r="Q101" s="54"/>
      <c r="R101" s="54"/>
      <c r="S101" s="54"/>
      <c r="T101" s="54"/>
    </row>
    <row r="102" spans="1:20" s="55" customFormat="1" ht="22.5" x14ac:dyDescent="0.55000000000000004">
      <c r="A102" s="2709" t="s">
        <v>126</v>
      </c>
      <c r="B102" s="2710"/>
      <c r="C102" s="2711"/>
      <c r="D102" s="2712" t="str">
        <f>'แบบข้อตกลง TOR (ป.วช.-01)'!N99</f>
        <v/>
      </c>
      <c r="E102" s="2713"/>
      <c r="F102" s="2714">
        <v>1</v>
      </c>
      <c r="G102" s="2715"/>
      <c r="H102" s="1791">
        <v>1</v>
      </c>
      <c r="I102" s="1789" t="str">
        <f>IF(H102-2&lt;0,"",H102-2)</f>
        <v/>
      </c>
      <c r="J102" s="1776" t="str">
        <f t="shared" ref="J102:J104" si="4">IFERROR(IF(I102="","",I102-D102),"")</f>
        <v/>
      </c>
      <c r="K102" s="2707"/>
      <c r="L102" s="2708"/>
    </row>
    <row r="103" spans="1:20" s="55" customFormat="1" ht="22.5" x14ac:dyDescent="0.55000000000000004">
      <c r="A103" s="2709" t="s">
        <v>129</v>
      </c>
      <c r="B103" s="2710"/>
      <c r="C103" s="2711"/>
      <c r="D103" s="2712" t="str">
        <f>'แบบข้อตกลง TOR (ป.วช.-01)'!N100</f>
        <v/>
      </c>
      <c r="E103" s="2713"/>
      <c r="F103" s="2714">
        <v>1</v>
      </c>
      <c r="G103" s="2715"/>
      <c r="H103" s="1791">
        <v>1</v>
      </c>
      <c r="I103" s="1789" t="str">
        <f>IF(H103-2&lt;0,"",H103-2)</f>
        <v/>
      </c>
      <c r="J103" s="1776" t="str">
        <f t="shared" si="4"/>
        <v/>
      </c>
      <c r="K103" s="2707"/>
      <c r="L103" s="2708"/>
    </row>
    <row r="104" spans="1:20" s="55" customFormat="1" ht="23.25" thickBot="1" x14ac:dyDescent="0.6">
      <c r="A104" s="2693" t="s">
        <v>132</v>
      </c>
      <c r="B104" s="2694"/>
      <c r="C104" s="2695"/>
      <c r="D104" s="2696" t="str">
        <f>'แบบข้อตกลง TOR (ป.วช.-01)'!N101</f>
        <v/>
      </c>
      <c r="E104" s="2697"/>
      <c r="F104" s="2698">
        <v>1</v>
      </c>
      <c r="G104" s="2699"/>
      <c r="H104" s="1797">
        <v>1</v>
      </c>
      <c r="I104" s="1787" t="str">
        <f>IF(H104-2&lt;0,"",H104-2)</f>
        <v/>
      </c>
      <c r="J104" s="1774" t="str">
        <f t="shared" si="4"/>
        <v/>
      </c>
      <c r="K104" s="2700"/>
      <c r="L104" s="2701"/>
    </row>
    <row r="105" spans="1:20" s="55" customFormat="1" ht="22.5" customHeight="1" x14ac:dyDescent="0.55000000000000004">
      <c r="A105" s="78"/>
      <c r="B105" s="64"/>
      <c r="C105" s="64"/>
      <c r="D105" s="77"/>
      <c r="E105" s="77"/>
      <c r="F105" s="77"/>
      <c r="G105" s="77"/>
      <c r="H105" s="77"/>
      <c r="I105" s="77"/>
      <c r="J105" s="77"/>
      <c r="K105" s="77"/>
      <c r="L105" s="77"/>
    </row>
    <row r="106" spans="1:20" s="55" customFormat="1" ht="22.5" customHeight="1" x14ac:dyDescent="0.55000000000000004">
      <c r="A106" s="2689" t="s">
        <v>1104</v>
      </c>
      <c r="B106" s="2689"/>
      <c r="C106" s="2689"/>
      <c r="D106" s="2689"/>
      <c r="E106" s="2689"/>
      <c r="F106" s="2632" t="s">
        <v>280</v>
      </c>
      <c r="G106" s="2633"/>
      <c r="H106" s="2632" t="s">
        <v>281</v>
      </c>
      <c r="I106" s="2633"/>
      <c r="J106" s="2632" t="s">
        <v>282</v>
      </c>
      <c r="K106" s="2638"/>
      <c r="L106" s="2633"/>
    </row>
    <row r="107" spans="1:20" ht="24.75" customHeight="1" x14ac:dyDescent="0.6">
      <c r="A107" s="2702" t="s">
        <v>1099</v>
      </c>
      <c r="B107" s="2703"/>
      <c r="C107" s="2703"/>
      <c r="D107" s="2703"/>
      <c r="E107" s="2704"/>
      <c r="F107" s="2705">
        <f>IF(COUNTIF($I$89:$I$93,"&gt;0")+COUNTIF($I$95:$I$99,"&gt;0")+COUNTIF($I$101:$I$104,"&gt;0") &gt;0,COUNTIF($J$89:$J$93,"&gt;=0")+COUNTIF($J$95:$J$99,"&gt;=0")+COUNTIF($J$101:$J$104,"&gt;=0"),0)</f>
        <v>0</v>
      </c>
      <c r="G107" s="2706"/>
      <c r="H107" s="2705">
        <v>3</v>
      </c>
      <c r="I107" s="2706"/>
      <c r="J107" s="2690">
        <f>F107*H107</f>
        <v>0</v>
      </c>
      <c r="K107" s="2691"/>
      <c r="L107" s="2692"/>
      <c r="N107" s="55"/>
      <c r="O107" s="55"/>
      <c r="P107" s="55"/>
      <c r="Q107" s="55"/>
      <c r="R107" s="55"/>
      <c r="S107" s="55"/>
      <c r="T107" s="55"/>
    </row>
    <row r="108" spans="1:20" s="55" customFormat="1" ht="22.5" customHeight="1" x14ac:dyDescent="0.55000000000000004">
      <c r="A108" s="2672" t="s">
        <v>1100</v>
      </c>
      <c r="B108" s="2673"/>
      <c r="C108" s="2673"/>
      <c r="D108" s="2673"/>
      <c r="E108" s="2674"/>
      <c r="F108" s="2675">
        <f>IF(COUNTIF($I$89:$I$93,"&gt;0")+COUNTIF($I$95:$I$99,"&gt;0")+COUNTIF($I$101:$I$104,"&gt;0") &gt;0,COUNTIF($J$89:$J$93,"-1")+COUNTIF($J$95:$J$99,"-1")+COUNTIF($J$101:$J$104,"-1"),0)</f>
        <v>0</v>
      </c>
      <c r="G108" s="2676"/>
      <c r="H108" s="2675">
        <v>2</v>
      </c>
      <c r="I108" s="2676"/>
      <c r="J108" s="2677">
        <f>F108*H108</f>
        <v>0</v>
      </c>
      <c r="K108" s="2647"/>
      <c r="L108" s="2678"/>
      <c r="N108" s="79"/>
      <c r="O108" s="79"/>
      <c r="P108" s="79"/>
      <c r="Q108" s="79"/>
      <c r="R108" s="79"/>
      <c r="S108" s="79"/>
      <c r="T108" s="79"/>
    </row>
    <row r="109" spans="1:20" s="55" customFormat="1" ht="22.5" customHeight="1" x14ac:dyDescent="0.55000000000000004">
      <c r="A109" s="2672" t="s">
        <v>1101</v>
      </c>
      <c r="B109" s="2673"/>
      <c r="C109" s="2673"/>
      <c r="D109" s="2673"/>
      <c r="E109" s="2674"/>
      <c r="F109" s="2675">
        <f>IF(COUNTIF($I$89:$I$93,"&gt;0")+COUNTIF($I$95:$I$99,"&gt;0")+COUNTIF($I$101:$I$104,"&gt;0") &gt;0,COUNTIF($J$89:$J$93,"-2")+COUNTIF($J$95:$J$99,"-2")+COUNTIF($J$101:$J$104,"-2"),0)</f>
        <v>0</v>
      </c>
      <c r="G109" s="2676"/>
      <c r="H109" s="2675">
        <v>1</v>
      </c>
      <c r="I109" s="2676"/>
      <c r="J109" s="2677">
        <f>F109*H109</f>
        <v>0</v>
      </c>
      <c r="K109" s="2647"/>
      <c r="L109" s="2678"/>
      <c r="N109" s="79"/>
      <c r="O109" s="79"/>
      <c r="P109" s="79"/>
      <c r="Q109" s="79"/>
      <c r="R109" s="79"/>
      <c r="S109" s="79"/>
      <c r="T109" s="79"/>
    </row>
    <row r="110" spans="1:20" s="55" customFormat="1" ht="22.5" x14ac:dyDescent="0.55000000000000004">
      <c r="A110" s="2679" t="s">
        <v>1102</v>
      </c>
      <c r="B110" s="2680"/>
      <c r="C110" s="2680"/>
      <c r="D110" s="2680"/>
      <c r="E110" s="2681"/>
      <c r="F110" s="2682">
        <f>IF(COUNTIF($I$89:$I$93,"&gt;0")+COUNTIF($I$95:$I$99,"&gt;0")+COUNTIF($I$101:$I$104,"&gt;0") &gt;0,COUNTIF($J$89:$J$93,"-3")+COUNTIF($J$95:$J$99,"-3")+COUNTIF($J$101:$J$104,"-3"),0)</f>
        <v>0</v>
      </c>
      <c r="G110" s="2683"/>
      <c r="H110" s="2684">
        <v>0</v>
      </c>
      <c r="I110" s="2685"/>
      <c r="J110" s="2686">
        <f>F110*H110</f>
        <v>0</v>
      </c>
      <c r="K110" s="2687"/>
      <c r="L110" s="2688"/>
      <c r="N110" s="79"/>
      <c r="O110" s="79"/>
      <c r="P110" s="79"/>
      <c r="Q110" s="79"/>
      <c r="R110" s="79"/>
      <c r="S110" s="79"/>
      <c r="T110" s="79"/>
    </row>
    <row r="111" spans="1:20" s="55" customFormat="1" ht="22.5" x14ac:dyDescent="0.55000000000000004">
      <c r="A111" s="2689" t="s">
        <v>283</v>
      </c>
      <c r="B111" s="2689"/>
      <c r="C111" s="2689"/>
      <c r="D111" s="2689"/>
      <c r="E111" s="2689"/>
      <c r="F111" s="2689"/>
      <c r="G111" s="2689"/>
      <c r="H111" s="2689"/>
      <c r="I111" s="2689"/>
      <c r="J111" s="2632">
        <f>SUM(J107:L110)</f>
        <v>0</v>
      </c>
      <c r="K111" s="2638"/>
      <c r="L111" s="2633"/>
      <c r="N111" s="79"/>
      <c r="O111" s="79"/>
      <c r="P111" s="79"/>
      <c r="Q111" s="79"/>
      <c r="R111" s="79"/>
      <c r="S111" s="79"/>
      <c r="T111" s="79"/>
    </row>
    <row r="112" spans="1:20" s="55" customFormat="1" ht="22.5" x14ac:dyDescent="0.55000000000000004">
      <c r="A112" s="2658" t="s">
        <v>1125</v>
      </c>
      <c r="B112" s="2658"/>
      <c r="C112" s="2658"/>
      <c r="D112" s="2658"/>
      <c r="E112" s="2658"/>
      <c r="F112" s="2658"/>
      <c r="G112" s="2658"/>
      <c r="H112" s="2658"/>
      <c r="I112" s="2658"/>
      <c r="J112" s="2659">
        <f>IF(J111&gt;0,(J111/(SUM(F107:G110)*3)*10),0)</f>
        <v>0</v>
      </c>
      <c r="K112" s="2660"/>
      <c r="L112" s="2661"/>
      <c r="N112" s="79"/>
      <c r="O112" s="79"/>
      <c r="P112" s="79"/>
      <c r="Q112" s="79"/>
      <c r="R112" s="79"/>
      <c r="S112" s="79"/>
      <c r="T112" s="79"/>
    </row>
    <row r="113" spans="1:20" s="55" customFormat="1" ht="22.5" x14ac:dyDescent="0.55000000000000004">
      <c r="C113" s="80"/>
      <c r="D113" s="80"/>
      <c r="E113" s="80"/>
      <c r="F113" s="80"/>
      <c r="G113" s="80"/>
      <c r="H113" s="80"/>
      <c r="I113" s="80"/>
      <c r="J113" s="81"/>
      <c r="K113" s="81"/>
      <c r="N113" s="64"/>
      <c r="O113" s="64"/>
      <c r="P113" s="64"/>
      <c r="Q113" s="64"/>
      <c r="R113" s="64"/>
      <c r="S113" s="64"/>
      <c r="T113" s="64"/>
    </row>
    <row r="114" spans="1:20" s="55" customFormat="1" ht="22.5" x14ac:dyDescent="0.55000000000000004">
      <c r="A114" s="1661" t="s">
        <v>1117</v>
      </c>
      <c r="C114" s="1606"/>
      <c r="D114" s="1606"/>
      <c r="E114" s="1606"/>
      <c r="F114" s="1606"/>
      <c r="G114" s="1606"/>
      <c r="H114" s="1606"/>
      <c r="I114" s="1606"/>
      <c r="J114" s="1606"/>
      <c r="K114" s="1606"/>
      <c r="N114" s="64"/>
      <c r="O114" s="64"/>
      <c r="P114" s="64"/>
      <c r="Q114" s="64"/>
      <c r="R114" s="64"/>
      <c r="S114" s="64"/>
      <c r="T114" s="64"/>
    </row>
    <row r="115" spans="1:20" s="55" customFormat="1" ht="50.25" customHeight="1" x14ac:dyDescent="0.55000000000000004">
      <c r="A115" s="2037"/>
      <c r="B115" s="2040" t="s">
        <v>1158</v>
      </c>
      <c r="C115" s="2039" t="s">
        <v>1159</v>
      </c>
      <c r="D115" s="1914" t="s">
        <v>238</v>
      </c>
      <c r="E115" s="2050"/>
      <c r="F115" s="2051"/>
      <c r="G115" s="2053" t="s">
        <v>1144</v>
      </c>
      <c r="H115" s="2051"/>
      <c r="I115" s="2052"/>
      <c r="J115" s="1935" t="s">
        <v>269</v>
      </c>
      <c r="K115" s="1935" t="s">
        <v>242</v>
      </c>
      <c r="L115" s="1935" t="s">
        <v>1143</v>
      </c>
      <c r="N115" s="64"/>
      <c r="O115" s="64"/>
      <c r="P115" s="64"/>
      <c r="Q115" s="64"/>
      <c r="R115" s="64"/>
      <c r="S115" s="64"/>
      <c r="T115" s="64"/>
    </row>
    <row r="116" spans="1:20" s="55" customFormat="1" ht="22.5" x14ac:dyDescent="0.55000000000000004">
      <c r="A116" s="2148" t="s">
        <v>1187</v>
      </c>
      <c r="B116" s="2140"/>
      <c r="C116" s="2141"/>
      <c r="D116" s="2142"/>
      <c r="E116" s="2143"/>
      <c r="F116" s="2144"/>
      <c r="G116" s="2144"/>
      <c r="H116" s="2144"/>
      <c r="I116" s="2145"/>
      <c r="J116" s="2195">
        <v>6</v>
      </c>
      <c r="K116" s="2146"/>
      <c r="L116" s="2147"/>
      <c r="N116" s="64"/>
      <c r="O116" s="64"/>
      <c r="P116" s="64"/>
      <c r="Q116" s="64"/>
      <c r="R116" s="64"/>
      <c r="S116" s="64"/>
      <c r="T116" s="64"/>
    </row>
    <row r="117" spans="1:20" s="55" customFormat="1" ht="42.75" customHeight="1" x14ac:dyDescent="0.55000000000000004">
      <c r="A117" s="2617"/>
      <c r="B117" s="2618"/>
      <c r="C117" s="2619"/>
      <c r="D117" s="1912"/>
      <c r="E117" s="2620"/>
      <c r="F117" s="2621"/>
      <c r="G117" s="2621"/>
      <c r="H117" s="2621"/>
      <c r="I117" s="2622"/>
      <c r="J117" s="2047"/>
      <c r="K117" s="2047"/>
      <c r="L117" s="1913"/>
      <c r="N117" s="64"/>
      <c r="O117" s="64"/>
      <c r="P117" s="64"/>
      <c r="Q117" s="64"/>
      <c r="R117" s="64"/>
      <c r="S117" s="64"/>
      <c r="T117" s="64"/>
    </row>
    <row r="118" spans="1:20" s="55" customFormat="1" ht="22.5" x14ac:dyDescent="0.55000000000000004">
      <c r="A118" s="2148" t="s">
        <v>1188</v>
      </c>
      <c r="B118" s="2140"/>
      <c r="C118" s="2141"/>
      <c r="D118" s="2142"/>
      <c r="E118" s="2143"/>
      <c r="F118" s="2144"/>
      <c r="G118" s="2144"/>
      <c r="H118" s="2144"/>
      <c r="I118" s="2145"/>
      <c r="J118" s="2195">
        <v>4</v>
      </c>
      <c r="K118" s="2146"/>
      <c r="L118" s="2147"/>
      <c r="N118" s="64"/>
      <c r="O118" s="64"/>
      <c r="P118" s="64"/>
      <c r="Q118" s="64"/>
      <c r="R118" s="64"/>
      <c r="S118" s="64"/>
      <c r="T118" s="64"/>
    </row>
    <row r="119" spans="1:20" s="55" customFormat="1" ht="42.75" customHeight="1" x14ac:dyDescent="0.55000000000000004">
      <c r="A119" s="2623"/>
      <c r="B119" s="2624"/>
      <c r="C119" s="2625"/>
      <c r="D119" s="2137"/>
      <c r="E119" s="2626"/>
      <c r="F119" s="2627"/>
      <c r="G119" s="2627"/>
      <c r="H119" s="2627"/>
      <c r="I119" s="2628"/>
      <c r="J119" s="2138"/>
      <c r="K119" s="2138"/>
      <c r="L119" s="2139"/>
      <c r="N119" s="64"/>
      <c r="O119" s="64"/>
      <c r="P119" s="64"/>
      <c r="Q119" s="64"/>
      <c r="R119" s="64"/>
      <c r="S119" s="64"/>
      <c r="T119" s="64"/>
    </row>
    <row r="120" spans="1:20" s="55" customFormat="1" ht="22.5" x14ac:dyDescent="0.55000000000000004">
      <c r="A120" s="2666" t="s">
        <v>1142</v>
      </c>
      <c r="B120" s="2667"/>
      <c r="C120" s="2667"/>
      <c r="D120" s="2667"/>
      <c r="E120" s="2667"/>
      <c r="F120" s="2667"/>
      <c r="G120" s="2667"/>
      <c r="H120" s="2667"/>
      <c r="I120" s="2667"/>
      <c r="J120" s="2667"/>
      <c r="K120" s="2668"/>
      <c r="L120" s="2149">
        <f>SUM(L116:L117)</f>
        <v>0</v>
      </c>
      <c r="N120" s="79"/>
      <c r="O120" s="79"/>
      <c r="P120" s="79"/>
      <c r="Q120" s="79"/>
      <c r="R120" s="79"/>
      <c r="S120" s="79"/>
      <c r="T120" s="79"/>
    </row>
    <row r="121" spans="1:20" s="55" customFormat="1" ht="22.5" x14ac:dyDescent="0.55000000000000004">
      <c r="A121" s="2669" t="s">
        <v>1160</v>
      </c>
      <c r="B121" s="2670"/>
      <c r="C121" s="2670"/>
      <c r="D121" s="2670"/>
      <c r="E121" s="2670"/>
      <c r="F121" s="2670"/>
      <c r="G121" s="2670"/>
      <c r="H121" s="2670"/>
      <c r="I121" s="2670"/>
      <c r="J121" s="2670"/>
      <c r="K121" s="2671"/>
      <c r="L121" s="1751">
        <f>J112+L120</f>
        <v>0</v>
      </c>
    </row>
    <row r="122" spans="1:20" s="55" customFormat="1" ht="22.5" x14ac:dyDescent="0.55000000000000004">
      <c r="C122" s="1606"/>
      <c r="D122" s="1606"/>
      <c r="E122" s="1606"/>
      <c r="F122" s="1606"/>
      <c r="G122" s="1606"/>
      <c r="H122" s="1606"/>
      <c r="I122" s="1606"/>
      <c r="J122" s="1606"/>
      <c r="K122" s="1606"/>
      <c r="N122" s="64"/>
      <c r="O122" s="64"/>
      <c r="P122" s="64"/>
      <c r="Q122" s="64"/>
      <c r="R122" s="64"/>
      <c r="S122" s="64"/>
      <c r="T122" s="64"/>
    </row>
    <row r="123" spans="1:20" s="55" customFormat="1" ht="22.5" x14ac:dyDescent="0.55000000000000004">
      <c r="A123" s="1661" t="s">
        <v>1118</v>
      </c>
      <c r="B123" s="1642"/>
      <c r="C123" s="1798"/>
      <c r="D123" s="1798"/>
      <c r="E123" s="1798"/>
      <c r="F123" s="1798"/>
      <c r="G123" s="1798"/>
      <c r="H123" s="1798"/>
      <c r="I123" s="1798"/>
      <c r="J123" s="80"/>
      <c r="K123" s="80"/>
      <c r="N123" s="64"/>
      <c r="O123" s="64"/>
      <c r="P123" s="64"/>
      <c r="Q123" s="64"/>
      <c r="R123" s="64"/>
      <c r="S123" s="64"/>
      <c r="T123" s="64"/>
    </row>
    <row r="124" spans="1:20" s="55" customFormat="1" ht="42" customHeight="1" x14ac:dyDescent="0.55000000000000004">
      <c r="A124" s="2662" t="s">
        <v>284</v>
      </c>
      <c r="B124" s="2663"/>
      <c r="C124" s="2663"/>
      <c r="D124" s="2663"/>
      <c r="E124" s="2664"/>
      <c r="F124" s="2665" t="s">
        <v>285</v>
      </c>
      <c r="G124" s="2665"/>
      <c r="H124" s="1799" t="s">
        <v>286</v>
      </c>
      <c r="I124" s="1800"/>
      <c r="J124" s="80"/>
      <c r="K124" s="80"/>
      <c r="N124" s="64"/>
      <c r="O124" s="64"/>
      <c r="P124" s="64"/>
      <c r="Q124" s="64"/>
      <c r="R124" s="64"/>
      <c r="S124" s="64"/>
      <c r="T124" s="64"/>
    </row>
    <row r="125" spans="1:20" s="55" customFormat="1" ht="22.5" x14ac:dyDescent="0.55000000000000004">
      <c r="A125" s="2629" t="str">
        <f>สรุปภาระงาน!B39</f>
        <v/>
      </c>
      <c r="B125" s="2630"/>
      <c r="C125" s="2630"/>
      <c r="D125" s="2630"/>
      <c r="E125" s="2631"/>
      <c r="F125" s="2639" t="str">
        <f>สรุปภาระงาน!H39</f>
        <v/>
      </c>
      <c r="G125" s="2640"/>
      <c r="H125" s="2048" t="str">
        <f>สรุปภาระงาน!I39</f>
        <v/>
      </c>
      <c r="I125" s="1800"/>
      <c r="J125" s="80"/>
      <c r="K125" s="80"/>
      <c r="N125" s="64"/>
      <c r="O125" s="64"/>
      <c r="P125" s="64"/>
      <c r="Q125" s="64"/>
      <c r="R125" s="64"/>
      <c r="S125" s="64"/>
      <c r="T125" s="64"/>
    </row>
    <row r="126" spans="1:20" s="55" customFormat="1" ht="22.5" x14ac:dyDescent="0.55000000000000004">
      <c r="A126" s="2629" t="str">
        <f>สรุปภาระงาน!B40</f>
        <v/>
      </c>
      <c r="B126" s="2630"/>
      <c r="C126" s="2630"/>
      <c r="D126" s="2630"/>
      <c r="E126" s="2631"/>
      <c r="F126" s="2639" t="str">
        <f>สรุปภาระงาน!H40</f>
        <v/>
      </c>
      <c r="G126" s="2640"/>
      <c r="H126" s="2048" t="str">
        <f>สรุปภาระงาน!I40</f>
        <v/>
      </c>
      <c r="I126" s="1800"/>
      <c r="J126" s="80"/>
      <c r="K126" s="80"/>
      <c r="N126" s="64"/>
      <c r="O126" s="64"/>
      <c r="P126" s="64"/>
      <c r="Q126" s="64"/>
      <c r="R126" s="64"/>
      <c r="S126" s="64"/>
      <c r="T126" s="64"/>
    </row>
    <row r="127" spans="1:20" s="55" customFormat="1" ht="22.5" x14ac:dyDescent="0.55000000000000004">
      <c r="A127" s="2629" t="str">
        <f>สรุปภาระงาน!B41</f>
        <v/>
      </c>
      <c r="B127" s="2630"/>
      <c r="C127" s="2630"/>
      <c r="D127" s="2630"/>
      <c r="E127" s="2631"/>
      <c r="F127" s="2632" t="str">
        <f>สรุปภาระงาน!H41</f>
        <v/>
      </c>
      <c r="G127" s="2633"/>
      <c r="H127" s="2049" t="str">
        <f>สรุปภาระงาน!I41</f>
        <v/>
      </c>
      <c r="I127" s="1801"/>
      <c r="J127" s="80"/>
      <c r="K127" s="80"/>
      <c r="N127" s="64"/>
      <c r="O127" s="64"/>
      <c r="P127" s="64"/>
      <c r="Q127" s="64"/>
      <c r="R127" s="64"/>
      <c r="S127" s="64"/>
      <c r="T127" s="64"/>
    </row>
    <row r="128" spans="1:20" s="55" customFormat="1" ht="22.5" x14ac:dyDescent="0.55000000000000004">
      <c r="A128" s="2629" t="str">
        <f>สรุปภาระงาน!B42</f>
        <v/>
      </c>
      <c r="B128" s="2630"/>
      <c r="C128" s="2630"/>
      <c r="D128" s="2630"/>
      <c r="E128" s="2631"/>
      <c r="F128" s="2632" t="str">
        <f>สรุปภาระงาน!H42</f>
        <v/>
      </c>
      <c r="G128" s="2633"/>
      <c r="H128" s="2049" t="str">
        <f>สรุปภาระงาน!I42</f>
        <v/>
      </c>
      <c r="I128" s="1801"/>
      <c r="J128" s="80"/>
      <c r="K128" s="80"/>
      <c r="N128" s="64"/>
      <c r="O128" s="64"/>
      <c r="P128" s="64"/>
      <c r="Q128" s="64"/>
      <c r="R128" s="64"/>
      <c r="S128" s="64"/>
      <c r="T128" s="64"/>
    </row>
    <row r="129" spans="1:20" s="55" customFormat="1" ht="22.5" x14ac:dyDescent="0.55000000000000004">
      <c r="A129" s="2629" t="str">
        <f>สรุปภาระงาน!B43</f>
        <v/>
      </c>
      <c r="B129" s="2630"/>
      <c r="C129" s="2630"/>
      <c r="D129" s="2630"/>
      <c r="E129" s="2631"/>
      <c r="F129" s="2632" t="str">
        <f>สรุปภาระงาน!H43</f>
        <v/>
      </c>
      <c r="G129" s="2633"/>
      <c r="H129" s="2049" t="str">
        <f>สรุปภาระงาน!I43</f>
        <v/>
      </c>
      <c r="I129" s="1801"/>
      <c r="J129" s="80"/>
      <c r="K129" s="80"/>
      <c r="N129" s="64"/>
      <c r="O129" s="64"/>
      <c r="P129" s="64"/>
      <c r="Q129" s="64"/>
      <c r="R129" s="64"/>
      <c r="S129" s="64"/>
      <c r="T129" s="64"/>
    </row>
    <row r="130" spans="1:20" s="55" customFormat="1" ht="22.5" x14ac:dyDescent="0.55000000000000004">
      <c r="A130" s="2634" t="s">
        <v>287</v>
      </c>
      <c r="B130" s="2635"/>
      <c r="C130" s="2635"/>
      <c r="D130" s="2635"/>
      <c r="E130" s="2635"/>
      <c r="F130" s="2635"/>
      <c r="G130" s="2636"/>
      <c r="H130" s="1802" t="str">
        <f>สรุปภาระงาน!I44</f>
        <v/>
      </c>
      <c r="I130" s="1801"/>
      <c r="J130" s="80"/>
      <c r="K130" s="80"/>
      <c r="N130" s="64"/>
      <c r="O130" s="64"/>
      <c r="P130" s="64"/>
      <c r="Q130" s="64"/>
      <c r="R130" s="64"/>
      <c r="S130" s="64"/>
      <c r="T130" s="64"/>
    </row>
    <row r="131" spans="1:20" s="55" customFormat="1" ht="22.5" x14ac:dyDescent="0.55000000000000004">
      <c r="A131" s="1642"/>
      <c r="B131" s="1642"/>
      <c r="C131" s="1798"/>
      <c r="D131" s="1798"/>
      <c r="E131" s="1798"/>
      <c r="F131" s="1798"/>
      <c r="G131" s="1798"/>
      <c r="H131" s="1798"/>
      <c r="I131" s="1798"/>
      <c r="J131" s="80"/>
      <c r="K131" s="80"/>
      <c r="N131" s="64"/>
      <c r="O131" s="64"/>
      <c r="P131" s="64"/>
      <c r="Q131" s="64"/>
      <c r="R131" s="64"/>
      <c r="S131" s="64"/>
      <c r="T131" s="64"/>
    </row>
    <row r="132" spans="1:20" s="79" customFormat="1" ht="22.5" x14ac:dyDescent="0.55000000000000004">
      <c r="A132" s="1661" t="s">
        <v>1119</v>
      </c>
      <c r="B132" s="1642"/>
      <c r="C132" s="1661"/>
      <c r="D132" s="1661"/>
      <c r="E132" s="1661"/>
      <c r="F132" s="1661"/>
      <c r="G132" s="1661"/>
      <c r="H132" s="1661"/>
      <c r="I132" s="65"/>
      <c r="J132" s="65"/>
      <c r="K132" s="65"/>
      <c r="L132" s="55"/>
      <c r="N132" s="64"/>
      <c r="O132" s="64"/>
      <c r="P132" s="64"/>
      <c r="Q132" s="64"/>
      <c r="R132" s="64"/>
      <c r="S132" s="64"/>
      <c r="T132" s="64"/>
    </row>
    <row r="133" spans="1:20" s="79" customFormat="1" ht="22.5" x14ac:dyDescent="0.55000000000000004">
      <c r="A133" s="2637" t="s">
        <v>288</v>
      </c>
      <c r="B133" s="2637"/>
      <c r="C133" s="2637"/>
      <c r="D133" s="2637"/>
      <c r="E133" s="2632" t="s">
        <v>289</v>
      </c>
      <c r="F133" s="2638"/>
      <c r="G133" s="2638"/>
      <c r="H133" s="2633"/>
      <c r="I133" s="2585"/>
      <c r="J133" s="2585"/>
      <c r="K133" s="82"/>
      <c r="N133" s="64"/>
      <c r="O133" s="64"/>
      <c r="P133" s="64"/>
      <c r="Q133" s="64"/>
      <c r="R133" s="64"/>
      <c r="S133" s="64"/>
      <c r="T133" s="64"/>
    </row>
    <row r="134" spans="1:20" s="79" customFormat="1" ht="22.5" x14ac:dyDescent="0.55000000000000004">
      <c r="A134" s="1803" t="s">
        <v>290</v>
      </c>
      <c r="B134" s="1804"/>
      <c r="C134" s="1805"/>
      <c r="D134" s="1806"/>
      <c r="E134" s="2586">
        <f>L83</f>
        <v>0</v>
      </c>
      <c r="F134" s="2587"/>
      <c r="G134" s="2587"/>
      <c r="H134" s="2588"/>
      <c r="I134" s="2589"/>
      <c r="J134" s="2589"/>
      <c r="K134" s="82"/>
      <c r="N134" s="64"/>
      <c r="O134" s="64"/>
      <c r="P134" s="64"/>
      <c r="Q134" s="64"/>
      <c r="R134" s="64"/>
      <c r="S134" s="64"/>
      <c r="T134" s="64"/>
    </row>
    <row r="135" spans="1:20" s="79" customFormat="1" ht="22.5" x14ac:dyDescent="0.55000000000000004">
      <c r="A135" s="1807" t="s">
        <v>1105</v>
      </c>
      <c r="B135" s="1808"/>
      <c r="C135" s="1809"/>
      <c r="D135" s="1810"/>
      <c r="E135" s="2590">
        <f>L121</f>
        <v>0</v>
      </c>
      <c r="F135" s="2591"/>
      <c r="G135" s="2591"/>
      <c r="H135" s="2592"/>
      <c r="I135" s="2589"/>
      <c r="J135" s="2589"/>
      <c r="K135" s="82"/>
      <c r="N135" s="64"/>
      <c r="O135" s="64"/>
      <c r="P135" s="64"/>
      <c r="Q135" s="64"/>
      <c r="R135" s="64"/>
      <c r="S135" s="64"/>
      <c r="T135" s="64"/>
    </row>
    <row r="136" spans="1:20" s="79" customFormat="1" ht="22.5" x14ac:dyDescent="0.55000000000000004">
      <c r="A136" s="1811" t="s">
        <v>1140</v>
      </c>
      <c r="B136" s="1811"/>
      <c r="C136" s="1812"/>
      <c r="D136" s="1812"/>
      <c r="E136" s="2593">
        <f>SUM(E134:H135)</f>
        <v>0</v>
      </c>
      <c r="F136" s="2594"/>
      <c r="G136" s="2594"/>
      <c r="H136" s="2595"/>
      <c r="I136" s="2596"/>
      <c r="J136" s="2596"/>
      <c r="K136" s="82"/>
      <c r="N136" s="64"/>
      <c r="O136" s="64"/>
      <c r="P136" s="64"/>
      <c r="Q136" s="64"/>
      <c r="R136" s="64"/>
      <c r="S136" s="64"/>
      <c r="T136" s="64"/>
    </row>
    <row r="137" spans="1:20" s="64" customFormat="1" ht="15" customHeight="1" x14ac:dyDescent="0.55000000000000004">
      <c r="A137" s="79"/>
      <c r="B137" s="79"/>
      <c r="C137" s="83"/>
      <c r="D137" s="83"/>
      <c r="E137" s="83"/>
      <c r="F137" s="83"/>
      <c r="G137" s="83"/>
      <c r="H137" s="83"/>
      <c r="I137" s="83"/>
      <c r="J137" s="83"/>
      <c r="K137" s="83"/>
      <c r="L137" s="79"/>
      <c r="N137" s="55"/>
      <c r="O137" s="55"/>
      <c r="P137" s="55"/>
      <c r="Q137" s="55"/>
      <c r="R137" s="55"/>
      <c r="S137" s="55"/>
      <c r="T137" s="55"/>
    </row>
    <row r="138" spans="1:20" s="79" customFormat="1" ht="22.5" x14ac:dyDescent="0.55000000000000004">
      <c r="A138" s="1661" t="s">
        <v>1120</v>
      </c>
      <c r="B138" s="1642"/>
      <c r="C138" s="1661"/>
      <c r="D138" s="1661"/>
      <c r="E138" s="1661"/>
      <c r="F138" s="1661"/>
      <c r="G138" s="1661"/>
      <c r="H138" s="1661"/>
      <c r="I138" s="1661"/>
      <c r="J138" s="1661"/>
      <c r="K138" s="1661"/>
      <c r="L138" s="1642"/>
      <c r="N138" s="64"/>
      <c r="O138" s="64"/>
      <c r="P138" s="64"/>
      <c r="Q138" s="64"/>
      <c r="R138" s="64"/>
      <c r="S138" s="64"/>
      <c r="T138" s="64"/>
    </row>
    <row r="139" spans="1:20" s="79" customFormat="1" ht="22.5" x14ac:dyDescent="0.55000000000000004">
      <c r="A139" s="2637" t="s">
        <v>291</v>
      </c>
      <c r="B139" s="2637"/>
      <c r="C139" s="2637"/>
      <c r="D139" s="2637"/>
      <c r="E139" s="2632" t="s">
        <v>1111</v>
      </c>
      <c r="F139" s="2638"/>
      <c r="G139" s="2638"/>
      <c r="H139" s="2633"/>
      <c r="I139" s="2643"/>
      <c r="J139" s="2643"/>
      <c r="K139" s="1813"/>
      <c r="L139" s="1814"/>
      <c r="N139" s="64"/>
      <c r="O139" s="64"/>
      <c r="P139" s="64"/>
      <c r="Q139" s="64"/>
      <c r="R139" s="64"/>
      <c r="S139" s="64"/>
      <c r="T139" s="64"/>
    </row>
    <row r="140" spans="1:20" s="79" customFormat="1" ht="22.5" x14ac:dyDescent="0.55000000000000004">
      <c r="A140" s="1803" t="s">
        <v>1108</v>
      </c>
      <c r="B140" s="1804"/>
      <c r="C140" s="1805"/>
      <c r="D140" s="1806"/>
      <c r="E140" s="2644"/>
      <c r="F140" s="2645"/>
      <c r="G140" s="2645"/>
      <c r="H140" s="2646"/>
      <c r="I140" s="2647"/>
      <c r="J140" s="2647"/>
      <c r="K140" s="1813"/>
      <c r="L140" s="1814"/>
      <c r="N140" s="64"/>
      <c r="O140" s="64"/>
      <c r="P140" s="64"/>
      <c r="Q140" s="64"/>
      <c r="R140" s="64"/>
      <c r="S140" s="64"/>
      <c r="T140" s="64"/>
    </row>
    <row r="141" spans="1:20" s="79" customFormat="1" ht="22.5" x14ac:dyDescent="0.55000000000000004">
      <c r="A141" s="1815" t="s">
        <v>1109</v>
      </c>
      <c r="B141" s="1816"/>
      <c r="C141" s="1817"/>
      <c r="D141" s="1818"/>
      <c r="E141" s="2648"/>
      <c r="F141" s="2649"/>
      <c r="G141" s="2649"/>
      <c r="H141" s="2650"/>
      <c r="I141" s="2647"/>
      <c r="J141" s="2647"/>
      <c r="K141" s="1813"/>
      <c r="L141" s="1814"/>
      <c r="N141" s="64"/>
      <c r="O141" s="64"/>
      <c r="P141" s="64"/>
      <c r="Q141" s="64"/>
      <c r="R141" s="64"/>
      <c r="S141" s="64"/>
      <c r="T141" s="64"/>
    </row>
    <row r="142" spans="1:20" s="79" customFormat="1" ht="22.5" x14ac:dyDescent="0.55000000000000004">
      <c r="A142" s="1819" t="s">
        <v>1110</v>
      </c>
      <c r="B142" s="1819"/>
      <c r="C142" s="1820"/>
      <c r="D142" s="1810"/>
      <c r="E142" s="2651"/>
      <c r="F142" s="2652"/>
      <c r="G142" s="2652"/>
      <c r="H142" s="2653"/>
      <c r="I142" s="2654"/>
      <c r="J142" s="2654"/>
      <c r="K142" s="1813"/>
      <c r="L142" s="1814"/>
      <c r="N142" s="64"/>
      <c r="O142" s="64"/>
      <c r="P142" s="64"/>
      <c r="Q142" s="64"/>
      <c r="R142" s="64"/>
      <c r="S142" s="64"/>
      <c r="T142" s="64"/>
    </row>
    <row r="143" spans="1:20" s="79" customFormat="1" ht="22.5" x14ac:dyDescent="0.55000000000000004">
      <c r="A143" s="1821"/>
      <c r="B143" s="1821"/>
      <c r="C143" s="1822"/>
      <c r="D143" s="1822"/>
      <c r="E143" s="1823"/>
      <c r="F143" s="1823"/>
      <c r="G143" s="1823"/>
      <c r="H143" s="1823"/>
      <c r="I143" s="1824"/>
      <c r="J143" s="1824"/>
      <c r="K143" s="1813"/>
      <c r="L143" s="1814"/>
      <c r="N143" s="64"/>
      <c r="O143" s="64"/>
      <c r="P143" s="64"/>
      <c r="Q143" s="64"/>
      <c r="R143" s="64"/>
      <c r="S143" s="64"/>
      <c r="T143" s="64"/>
    </row>
    <row r="144" spans="1:20" s="64" customFormat="1" x14ac:dyDescent="0.6">
      <c r="A144" s="1660"/>
      <c r="B144" s="1660"/>
      <c r="C144" s="1825" t="s">
        <v>292</v>
      </c>
      <c r="D144" s="1826"/>
      <c r="E144" s="1826"/>
      <c r="F144" s="1826"/>
      <c r="G144" s="1826"/>
      <c r="H144" s="1826"/>
      <c r="I144" s="1826"/>
      <c r="J144" s="1826"/>
      <c r="K144" s="1826"/>
      <c r="L144" s="1660"/>
      <c r="N144" s="66"/>
      <c r="O144" s="66"/>
      <c r="P144" s="66"/>
      <c r="Q144" s="66"/>
      <c r="R144" s="66"/>
      <c r="S144" s="66"/>
      <c r="T144" s="66"/>
    </row>
    <row r="145" spans="1:20" s="64" customFormat="1" x14ac:dyDescent="0.6">
      <c r="A145" s="1660"/>
      <c r="B145" s="1660"/>
      <c r="C145" s="1827"/>
      <c r="D145" s="1828" t="s">
        <v>1134</v>
      </c>
      <c r="E145" s="1828" t="s">
        <v>1135</v>
      </c>
      <c r="F145" s="1828"/>
      <c r="G145" s="1829"/>
      <c r="H145" s="1827"/>
      <c r="I145" s="1828"/>
      <c r="J145" s="1830"/>
      <c r="K145" s="1830"/>
      <c r="L145" s="1660"/>
      <c r="N145" s="54"/>
      <c r="O145" s="54"/>
      <c r="P145" s="54"/>
      <c r="Q145" s="54"/>
      <c r="R145" s="54"/>
      <c r="S145" s="54"/>
      <c r="T145" s="54"/>
    </row>
    <row r="146" spans="1:20" s="64" customFormat="1" ht="22.5" x14ac:dyDescent="0.55000000000000004">
      <c r="A146" s="1660"/>
      <c r="B146" s="1660"/>
      <c r="C146" s="1827"/>
      <c r="D146" s="1828" t="s">
        <v>1112</v>
      </c>
      <c r="E146" s="1828" t="s">
        <v>1136</v>
      </c>
      <c r="F146" s="1828"/>
      <c r="G146" s="1829"/>
      <c r="H146" s="1827"/>
      <c r="I146" s="1828"/>
      <c r="J146" s="1830"/>
      <c r="K146" s="1830"/>
      <c r="L146" s="1660"/>
      <c r="N146" s="55"/>
      <c r="O146" s="55"/>
      <c r="P146" s="55"/>
      <c r="Q146" s="55"/>
      <c r="R146" s="55"/>
      <c r="S146" s="55"/>
      <c r="T146" s="55"/>
    </row>
    <row r="147" spans="1:20" s="64" customFormat="1" ht="22.5" x14ac:dyDescent="0.55000000000000004">
      <c r="A147" s="1660"/>
      <c r="B147" s="1660"/>
      <c r="C147" s="1827"/>
      <c r="D147" s="1828" t="s">
        <v>1113</v>
      </c>
      <c r="E147" s="1828" t="s">
        <v>1137</v>
      </c>
      <c r="F147" s="1828"/>
      <c r="G147" s="1829"/>
      <c r="H147" s="1827"/>
      <c r="I147" s="1828"/>
      <c r="J147" s="1830"/>
      <c r="K147" s="1830"/>
      <c r="L147" s="1660"/>
      <c r="N147" s="55"/>
      <c r="O147" s="55"/>
      <c r="P147" s="55"/>
      <c r="Q147" s="55"/>
      <c r="R147" s="55"/>
      <c r="S147" s="55"/>
      <c r="T147" s="55"/>
    </row>
    <row r="148" spans="1:20" s="64" customFormat="1" ht="22.5" x14ac:dyDescent="0.55000000000000004">
      <c r="A148" s="1660"/>
      <c r="B148" s="1660"/>
      <c r="C148" s="1827"/>
      <c r="D148" s="1828" t="s">
        <v>1139</v>
      </c>
      <c r="E148" s="1828" t="s">
        <v>1138</v>
      </c>
      <c r="F148" s="1828"/>
      <c r="G148" s="1829"/>
      <c r="H148" s="1827"/>
      <c r="I148" s="1828"/>
      <c r="J148" s="1830"/>
      <c r="K148" s="1830"/>
      <c r="L148" s="1660"/>
      <c r="N148" s="55"/>
      <c r="O148" s="55"/>
      <c r="P148" s="55"/>
      <c r="Q148" s="55"/>
      <c r="R148" s="55"/>
      <c r="S148" s="55"/>
      <c r="T148" s="55"/>
    </row>
    <row r="149" spans="1:20" s="55" customFormat="1" ht="22.5" x14ac:dyDescent="0.55000000000000004">
      <c r="A149" s="1660"/>
      <c r="B149" s="1660"/>
      <c r="C149" s="1827"/>
      <c r="D149" s="1828" t="s">
        <v>1114</v>
      </c>
      <c r="E149" s="1828" t="s">
        <v>1115</v>
      </c>
      <c r="F149" s="1828"/>
      <c r="G149" s="1829"/>
      <c r="H149" s="1827"/>
      <c r="I149" s="1828"/>
      <c r="J149" s="1830"/>
      <c r="K149" s="1830"/>
      <c r="L149" s="1660"/>
    </row>
    <row r="150" spans="1:20" s="66" customFormat="1" ht="14.25" customHeight="1" x14ac:dyDescent="0.6">
      <c r="A150" s="1642"/>
      <c r="B150" s="1642"/>
      <c r="C150" s="1826"/>
      <c r="D150" s="1826"/>
      <c r="E150" s="1826"/>
      <c r="F150" s="1826"/>
      <c r="G150" s="1826"/>
      <c r="H150" s="1826"/>
      <c r="I150" s="1826"/>
      <c r="J150" s="1826"/>
      <c r="K150" s="1826"/>
      <c r="L150" s="1642"/>
      <c r="N150" s="55"/>
      <c r="O150" s="55"/>
      <c r="P150" s="55"/>
      <c r="Q150" s="55"/>
      <c r="R150" s="55"/>
      <c r="S150" s="55"/>
      <c r="T150" s="55"/>
    </row>
    <row r="151" spans="1:20" x14ac:dyDescent="0.6">
      <c r="A151" s="1831" t="s">
        <v>293</v>
      </c>
      <c r="B151" s="1832"/>
      <c r="C151" s="1833"/>
      <c r="D151" s="1833"/>
      <c r="E151" s="1749"/>
      <c r="F151" s="1749"/>
      <c r="G151" s="1749"/>
      <c r="H151" s="1749"/>
      <c r="I151" s="1749"/>
      <c r="J151" s="1749"/>
      <c r="K151" s="1749"/>
      <c r="L151" s="1750"/>
      <c r="M151" s="84"/>
      <c r="N151" s="55"/>
      <c r="O151" s="55"/>
      <c r="P151" s="55"/>
      <c r="Q151" s="55"/>
      <c r="R151" s="55"/>
      <c r="S151" s="55"/>
      <c r="T151" s="55"/>
    </row>
    <row r="152" spans="1:20" s="55" customFormat="1" ht="24" x14ac:dyDescent="0.55000000000000004">
      <c r="A152" s="1834" t="s">
        <v>1141</v>
      </c>
      <c r="B152" s="1835"/>
      <c r="C152" s="1836"/>
      <c r="D152" s="1837"/>
      <c r="E152" s="1837"/>
      <c r="F152" s="1837"/>
      <c r="G152" s="1837"/>
      <c r="H152" s="1837"/>
      <c r="I152" s="1838"/>
      <c r="J152" s="1837"/>
      <c r="K152" s="1837"/>
      <c r="L152" s="1839"/>
      <c r="M152" s="85"/>
    </row>
    <row r="153" spans="1:20" s="55" customFormat="1" ht="22.5" x14ac:dyDescent="0.55000000000000004">
      <c r="A153" s="1840"/>
      <c r="B153" s="1837"/>
      <c r="C153" s="1837"/>
      <c r="D153" s="1837"/>
      <c r="E153" s="1837"/>
      <c r="F153" s="1837"/>
      <c r="G153" s="1837"/>
      <c r="H153" s="1837"/>
      <c r="I153" s="1837"/>
      <c r="J153" s="1837"/>
      <c r="K153" s="1837"/>
      <c r="L153" s="1839"/>
      <c r="M153" s="85"/>
    </row>
    <row r="154" spans="1:20" s="55" customFormat="1" ht="22.5" x14ac:dyDescent="0.55000000000000004">
      <c r="A154" s="1840"/>
      <c r="B154" s="1837"/>
      <c r="C154" s="1837"/>
      <c r="D154" s="1837"/>
      <c r="E154" s="1837"/>
      <c r="F154" s="1837"/>
      <c r="G154" s="1837"/>
      <c r="H154" s="1837"/>
      <c r="I154" s="1837"/>
      <c r="J154" s="1837"/>
      <c r="K154" s="1837"/>
      <c r="L154" s="1839"/>
      <c r="M154" s="85"/>
    </row>
    <row r="155" spans="1:20" s="55" customFormat="1" ht="22.5" x14ac:dyDescent="0.55000000000000004">
      <c r="A155" s="1932"/>
      <c r="B155" s="1933"/>
      <c r="C155" s="1933"/>
      <c r="D155" s="1933"/>
      <c r="E155" s="1933"/>
      <c r="F155" s="1933"/>
      <c r="G155" s="1933"/>
      <c r="H155" s="1933"/>
      <c r="I155" s="1933"/>
      <c r="J155" s="1933"/>
      <c r="K155" s="1933"/>
      <c r="L155" s="1934"/>
      <c r="M155" s="85"/>
    </row>
    <row r="156" spans="1:20" s="55" customFormat="1" ht="9.75" customHeight="1" x14ac:dyDescent="0.55000000000000004">
      <c r="A156" s="1842"/>
      <c r="B156" s="1842"/>
      <c r="C156" s="1843"/>
      <c r="D156" s="1843"/>
      <c r="E156" s="1844"/>
      <c r="F156" s="1844"/>
      <c r="G156" s="1844"/>
      <c r="H156" s="1844"/>
      <c r="I156" s="1844"/>
      <c r="J156" s="1844"/>
      <c r="K156" s="1844"/>
      <c r="L156" s="1844"/>
      <c r="M156" s="85"/>
    </row>
    <row r="157" spans="1:20" s="55" customFormat="1" x14ac:dyDescent="0.6">
      <c r="A157" s="1845" t="s">
        <v>1121</v>
      </c>
      <c r="B157" s="1842"/>
      <c r="C157" s="1845"/>
      <c r="D157" s="1845"/>
      <c r="E157" s="1845"/>
      <c r="F157" s="1845"/>
      <c r="G157" s="1846"/>
      <c r="H157" s="1846"/>
      <c r="I157" s="1846"/>
      <c r="J157" s="1846"/>
      <c r="K157" s="1846"/>
      <c r="L157" s="1846"/>
      <c r="M157" s="85"/>
      <c r="N157" s="54"/>
      <c r="O157" s="86"/>
      <c r="P157" s="54"/>
      <c r="Q157" s="54"/>
      <c r="R157" s="54"/>
      <c r="S157" s="54"/>
      <c r="T157" s="54"/>
    </row>
    <row r="158" spans="1:20" s="55" customFormat="1" ht="21" customHeight="1" x14ac:dyDescent="0.6">
      <c r="A158" s="2655" t="s">
        <v>1123</v>
      </c>
      <c r="B158" s="2656"/>
      <c r="C158" s="2656"/>
      <c r="D158" s="1847"/>
      <c r="E158" s="1847"/>
      <c r="F158" s="1848"/>
      <c r="G158" s="1849" t="s">
        <v>1124</v>
      </c>
      <c r="H158" s="1847"/>
      <c r="I158" s="1847"/>
      <c r="J158" s="1847"/>
      <c r="K158" s="1847"/>
      <c r="L158" s="1848"/>
      <c r="M158" s="85"/>
      <c r="N158" s="54"/>
      <c r="O158" s="54"/>
      <c r="P158" s="54"/>
      <c r="Q158" s="54"/>
      <c r="R158" s="54"/>
      <c r="S158" s="54"/>
      <c r="T158" s="54"/>
    </row>
    <row r="159" spans="1:20" s="55" customFormat="1" ht="20.25" customHeight="1" x14ac:dyDescent="0.6">
      <c r="A159" s="1850" t="s">
        <v>294</v>
      </c>
      <c r="B159" s="1651"/>
      <c r="C159" s="1651"/>
      <c r="D159" s="1651"/>
      <c r="E159" s="1851"/>
      <c r="F159" s="1852"/>
      <c r="G159" s="1850" t="s">
        <v>295</v>
      </c>
      <c r="H159" s="1853"/>
      <c r="I159" s="1853"/>
      <c r="J159" s="1836"/>
      <c r="K159" s="1836"/>
      <c r="L159" s="1841"/>
      <c r="M159" s="85"/>
      <c r="N159" s="54"/>
      <c r="O159" s="54"/>
      <c r="P159" s="54"/>
      <c r="Q159" s="54"/>
      <c r="R159" s="54"/>
      <c r="S159" s="54"/>
      <c r="T159" s="54"/>
    </row>
    <row r="160" spans="1:20" s="55" customFormat="1" ht="19.5" customHeight="1" x14ac:dyDescent="0.6">
      <c r="A160" s="1850" t="s">
        <v>296</v>
      </c>
      <c r="B160" s="1651"/>
      <c r="C160" s="1651"/>
      <c r="D160" s="1651"/>
      <c r="E160" s="1851"/>
      <c r="F160" s="1852"/>
      <c r="G160" s="1850" t="s">
        <v>297</v>
      </c>
      <c r="H160" s="1853"/>
      <c r="I160" s="1853"/>
      <c r="J160" s="1836"/>
      <c r="K160" s="1836"/>
      <c r="L160" s="1841"/>
      <c r="M160" s="85"/>
      <c r="N160" s="54"/>
      <c r="O160" s="54"/>
      <c r="P160" s="54"/>
      <c r="Q160" s="54"/>
      <c r="R160" s="54"/>
      <c r="S160" s="54"/>
      <c r="T160" s="54"/>
    </row>
    <row r="161" spans="1:20" s="55" customFormat="1" x14ac:dyDescent="0.6">
      <c r="A161" s="1834"/>
      <c r="B161" s="1836"/>
      <c r="C161" s="1651"/>
      <c r="D161" s="1651"/>
      <c r="E161" s="1651"/>
      <c r="F161" s="1854"/>
      <c r="G161" s="1850"/>
      <c r="H161" s="1651"/>
      <c r="I161" s="1851"/>
      <c r="J161" s="1851"/>
      <c r="K161" s="1836"/>
      <c r="L161" s="1841"/>
      <c r="M161" s="85"/>
      <c r="N161" s="54"/>
      <c r="O161" s="54"/>
      <c r="P161" s="54"/>
      <c r="Q161" s="54"/>
      <c r="R161" s="54"/>
      <c r="S161" s="54"/>
      <c r="T161" s="54"/>
    </row>
    <row r="162" spans="1:20" s="55" customFormat="1" x14ac:dyDescent="0.6">
      <c r="A162" s="1834"/>
      <c r="B162" s="1836"/>
      <c r="C162" s="1855" t="s">
        <v>298</v>
      </c>
      <c r="D162" s="1836" t="s">
        <v>142</v>
      </c>
      <c r="E162" s="1836"/>
      <c r="F162" s="1852"/>
      <c r="G162" s="1856"/>
      <c r="H162" s="1851"/>
      <c r="I162" s="1836"/>
      <c r="J162" s="1857" t="s">
        <v>299</v>
      </c>
      <c r="K162" s="1851" t="s">
        <v>142</v>
      </c>
      <c r="L162" s="1841"/>
      <c r="M162" s="85"/>
      <c r="N162" s="54"/>
      <c r="O162" s="54"/>
      <c r="P162" s="54"/>
      <c r="Q162" s="54"/>
      <c r="R162" s="54"/>
      <c r="S162" s="54"/>
      <c r="T162" s="54"/>
    </row>
    <row r="163" spans="1:20" ht="22.5" customHeight="1" x14ac:dyDescent="0.6">
      <c r="A163" s="1834"/>
      <c r="B163" s="1836"/>
      <c r="C163" s="1855" t="str">
        <f>"( "&amp;C9&amp;" )"</f>
        <v>(  )</v>
      </c>
      <c r="D163" s="1857"/>
      <c r="E163" s="1836"/>
      <c r="F163" s="1858"/>
      <c r="G163" s="1856"/>
      <c r="H163" s="1851"/>
      <c r="I163" s="2657" t="str">
        <f>"( "&amp;C9&amp;" )"</f>
        <v>(  )</v>
      </c>
      <c r="J163" s="2657"/>
      <c r="K163" s="1851"/>
      <c r="L163" s="1841"/>
      <c r="M163" s="84"/>
    </row>
    <row r="164" spans="1:20" x14ac:dyDescent="0.6">
      <c r="A164" s="1859"/>
      <c r="B164" s="1835"/>
      <c r="C164" s="1851"/>
      <c r="D164" s="1851"/>
      <c r="E164" s="1835"/>
      <c r="F164" s="1852"/>
      <c r="G164" s="1856"/>
      <c r="H164" s="1851"/>
      <c r="I164" s="1851"/>
      <c r="J164" s="1835"/>
      <c r="K164" s="1835"/>
      <c r="L164" s="1841"/>
      <c r="M164" s="84"/>
    </row>
    <row r="165" spans="1:20" x14ac:dyDescent="0.6">
      <c r="A165" s="1859"/>
      <c r="B165" s="1835"/>
      <c r="C165" s="1860"/>
      <c r="D165" s="1860"/>
      <c r="E165" s="1843"/>
      <c r="F165" s="1861"/>
      <c r="G165" s="1862"/>
      <c r="H165" s="1851"/>
      <c r="I165" s="1835"/>
      <c r="J165" s="1857" t="s">
        <v>299</v>
      </c>
      <c r="K165" s="1851" t="s">
        <v>300</v>
      </c>
      <c r="L165" s="1841"/>
      <c r="M165" s="84"/>
    </row>
    <row r="166" spans="1:20" x14ac:dyDescent="0.6">
      <c r="A166" s="1859"/>
      <c r="B166" s="1835"/>
      <c r="C166" s="1860"/>
      <c r="D166" s="1860"/>
      <c r="E166" s="1843"/>
      <c r="F166" s="1863"/>
      <c r="G166" s="1862"/>
      <c r="H166" s="1851"/>
      <c r="I166" s="2641" t="s">
        <v>301</v>
      </c>
      <c r="J166" s="2642"/>
      <c r="K166" s="2642"/>
      <c r="L166" s="1864"/>
      <c r="M166" s="84"/>
    </row>
    <row r="167" spans="1:20" x14ac:dyDescent="0.6">
      <c r="A167" s="1859"/>
      <c r="B167" s="1835"/>
      <c r="C167" s="1865"/>
      <c r="D167" s="1865"/>
      <c r="E167" s="1866"/>
      <c r="F167" s="1867"/>
      <c r="G167" s="1862"/>
      <c r="H167" s="1851"/>
      <c r="I167" s="1851"/>
      <c r="J167" s="1835"/>
      <c r="K167" s="1835"/>
      <c r="L167" s="1841"/>
      <c r="M167" s="84"/>
    </row>
    <row r="168" spans="1:20" x14ac:dyDescent="0.6">
      <c r="A168" s="1859"/>
      <c r="B168" s="1835"/>
      <c r="C168" s="1860"/>
      <c r="D168" s="1860"/>
      <c r="E168" s="1843"/>
      <c r="F168" s="1861"/>
      <c r="G168" s="1862"/>
      <c r="H168" s="1851"/>
      <c r="I168" s="1835"/>
      <c r="J168" s="1857" t="s">
        <v>302</v>
      </c>
      <c r="K168" s="1851" t="s">
        <v>303</v>
      </c>
      <c r="L168" s="1841"/>
      <c r="M168" s="84"/>
    </row>
    <row r="169" spans="1:20" ht="22.5" customHeight="1" x14ac:dyDescent="0.6">
      <c r="A169" s="1859"/>
      <c r="B169" s="1835"/>
      <c r="C169" s="1860"/>
      <c r="D169" s="1860"/>
      <c r="E169" s="1843"/>
      <c r="F169" s="1861"/>
      <c r="G169" s="1862"/>
      <c r="H169" s="1851"/>
      <c r="I169" s="2641" t="s">
        <v>301</v>
      </c>
      <c r="J169" s="2642"/>
      <c r="K169" s="2642"/>
      <c r="L169" s="1841"/>
      <c r="M169" s="84"/>
    </row>
    <row r="170" spans="1:20" x14ac:dyDescent="0.6">
      <c r="A170" s="1859"/>
      <c r="B170" s="1835"/>
      <c r="C170" s="1860"/>
      <c r="D170" s="1860"/>
      <c r="E170" s="1843"/>
      <c r="F170" s="1861"/>
      <c r="G170" s="1915" t="s">
        <v>304</v>
      </c>
      <c r="H170" s="1916" t="s">
        <v>305</v>
      </c>
      <c r="I170" s="1917"/>
      <c r="J170" s="1918"/>
      <c r="K170" s="1919"/>
      <c r="L170" s="1920"/>
      <c r="M170" s="84"/>
    </row>
    <row r="171" spans="1:20" x14ac:dyDescent="0.6">
      <c r="A171" s="1868"/>
      <c r="B171" s="1869"/>
      <c r="C171" s="1870"/>
      <c r="D171" s="1870"/>
      <c r="E171" s="1871"/>
      <c r="F171" s="1872"/>
      <c r="G171" s="1873"/>
      <c r="H171" s="1921" t="s">
        <v>306</v>
      </c>
      <c r="I171" s="1874"/>
      <c r="J171" s="1869"/>
      <c r="K171" s="1869"/>
      <c r="L171" s="1875"/>
      <c r="M171" s="84"/>
    </row>
    <row r="172" spans="1:20" x14ac:dyDescent="0.6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</row>
    <row r="173" spans="1:20" x14ac:dyDescent="0.6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</row>
    <row r="174" spans="1:20" x14ac:dyDescent="0.6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</row>
    <row r="175" spans="1:20" x14ac:dyDescent="0.6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</row>
    <row r="176" spans="1:20" x14ac:dyDescent="0.6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</row>
    <row r="177" spans="1:13" x14ac:dyDescent="0.6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</row>
    <row r="178" spans="1:13" x14ac:dyDescent="0.6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</row>
    <row r="179" spans="1:13" x14ac:dyDescent="0.6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</row>
    <row r="180" spans="1:13" x14ac:dyDescent="0.6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</row>
    <row r="181" spans="1:13" x14ac:dyDescent="0.6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</row>
    <row r="182" spans="1:13" x14ac:dyDescent="0.6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</row>
    <row r="183" spans="1:13" x14ac:dyDescent="0.6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</row>
    <row r="184" spans="1:13" x14ac:dyDescent="0.6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</row>
    <row r="185" spans="1:13" x14ac:dyDescent="0.6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</row>
    <row r="186" spans="1:13" x14ac:dyDescent="0.6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</row>
    <row r="187" spans="1:13" x14ac:dyDescent="0.6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</row>
    <row r="188" spans="1:13" x14ac:dyDescent="0.6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</row>
    <row r="189" spans="1:13" x14ac:dyDescent="0.6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</row>
    <row r="190" spans="1:13" x14ac:dyDescent="0.6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</row>
    <row r="191" spans="1:13" x14ac:dyDescent="0.6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</row>
    <row r="192" spans="1:13" x14ac:dyDescent="0.6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</row>
    <row r="193" spans="1:13" x14ac:dyDescent="0.6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</row>
    <row r="194" spans="1:13" x14ac:dyDescent="0.6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</row>
    <row r="195" spans="1:13" x14ac:dyDescent="0.6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</row>
    <row r="196" spans="1:13" x14ac:dyDescent="0.6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</row>
    <row r="197" spans="1:13" x14ac:dyDescent="0.6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</row>
    <row r="198" spans="1:13" x14ac:dyDescent="0.6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</row>
    <row r="199" spans="1:13" x14ac:dyDescent="0.6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</row>
    <row r="200" spans="1:13" x14ac:dyDescent="0.6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</row>
    <row r="201" spans="1:13" x14ac:dyDescent="0.6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</row>
    <row r="202" spans="1:13" x14ac:dyDescent="0.6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</row>
    <row r="203" spans="1:13" x14ac:dyDescent="0.6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</row>
    <row r="204" spans="1:13" x14ac:dyDescent="0.6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</row>
    <row r="205" spans="1:13" x14ac:dyDescent="0.6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</row>
    <row r="206" spans="1:13" x14ac:dyDescent="0.6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</row>
    <row r="207" spans="1:13" x14ac:dyDescent="0.6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</row>
    <row r="208" spans="1:13" x14ac:dyDescent="0.6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</row>
    <row r="209" spans="1:13" x14ac:dyDescent="0.6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</row>
    <row r="210" spans="1:13" x14ac:dyDescent="0.6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</row>
    <row r="211" spans="1:13" x14ac:dyDescent="0.6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</row>
    <row r="212" spans="1:13" x14ac:dyDescent="0.6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</row>
    <row r="213" spans="1:13" x14ac:dyDescent="0.6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</row>
    <row r="214" spans="1:13" x14ac:dyDescent="0.6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</row>
    <row r="215" spans="1:13" x14ac:dyDescent="0.6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</row>
    <row r="216" spans="1:13" x14ac:dyDescent="0.6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</row>
    <row r="217" spans="1:13" x14ac:dyDescent="0.6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</row>
    <row r="218" spans="1:13" x14ac:dyDescent="0.6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</row>
    <row r="219" spans="1:13" x14ac:dyDescent="0.6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</row>
    <row r="220" spans="1:13" x14ac:dyDescent="0.6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</row>
    <row r="221" spans="1:13" x14ac:dyDescent="0.6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</row>
    <row r="222" spans="1:13" x14ac:dyDescent="0.6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</row>
    <row r="223" spans="1:13" x14ac:dyDescent="0.6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</row>
    <row r="224" spans="1:13" x14ac:dyDescent="0.6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</row>
    <row r="225" spans="1:13" x14ac:dyDescent="0.6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</row>
    <row r="226" spans="1:13" x14ac:dyDescent="0.6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</row>
    <row r="227" spans="1:13" x14ac:dyDescent="0.6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</row>
    <row r="228" spans="1:13" x14ac:dyDescent="0.6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</row>
    <row r="229" spans="1:13" x14ac:dyDescent="0.6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</row>
    <row r="230" spans="1:13" x14ac:dyDescent="0.6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</row>
    <row r="231" spans="1:13" x14ac:dyDescent="0.6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</row>
    <row r="232" spans="1:13" x14ac:dyDescent="0.6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</row>
    <row r="233" spans="1:13" x14ac:dyDescent="0.6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</row>
    <row r="234" spans="1:13" x14ac:dyDescent="0.6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</row>
    <row r="235" spans="1:13" x14ac:dyDescent="0.6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</row>
    <row r="236" spans="1:13" x14ac:dyDescent="0.6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</row>
    <row r="237" spans="1:13" x14ac:dyDescent="0.6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</row>
    <row r="238" spans="1:13" x14ac:dyDescent="0.6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</row>
    <row r="239" spans="1:13" x14ac:dyDescent="0.6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</row>
    <row r="240" spans="1:13" x14ac:dyDescent="0.6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</row>
    <row r="241" spans="1:13" x14ac:dyDescent="0.6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</row>
    <row r="242" spans="1:13" x14ac:dyDescent="0.6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</row>
    <row r="243" spans="1:13" x14ac:dyDescent="0.6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</row>
    <row r="244" spans="1:13" x14ac:dyDescent="0.6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</row>
    <row r="245" spans="1:13" x14ac:dyDescent="0.6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</row>
    <row r="246" spans="1:13" x14ac:dyDescent="0.6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</row>
    <row r="247" spans="1:13" x14ac:dyDescent="0.6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</row>
    <row r="248" spans="1:13" x14ac:dyDescent="0.6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</row>
    <row r="249" spans="1:13" x14ac:dyDescent="0.6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</row>
    <row r="250" spans="1:13" x14ac:dyDescent="0.6">
      <c r="A250" s="84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</row>
    <row r="251" spans="1:13" x14ac:dyDescent="0.6">
      <c r="A251" s="84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</row>
    <row r="252" spans="1:13" x14ac:dyDescent="0.6">
      <c r="A252" s="84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</row>
    <row r="253" spans="1:13" x14ac:dyDescent="0.6">
      <c r="A253" s="84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</row>
    <row r="254" spans="1:13" x14ac:dyDescent="0.6">
      <c r="A254" s="84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</row>
    <row r="255" spans="1:13" x14ac:dyDescent="0.6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</row>
    <row r="256" spans="1:13" x14ac:dyDescent="0.6">
      <c r="A256" s="84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</row>
    <row r="257" spans="1:13" x14ac:dyDescent="0.6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</row>
    <row r="258" spans="1:13" x14ac:dyDescent="0.6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</row>
    <row r="259" spans="1:13" x14ac:dyDescent="0.6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</row>
    <row r="260" spans="1:13" x14ac:dyDescent="0.6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</row>
    <row r="261" spans="1:13" x14ac:dyDescent="0.6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</row>
    <row r="262" spans="1:13" x14ac:dyDescent="0.6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</row>
    <row r="263" spans="1:13" x14ac:dyDescent="0.6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</row>
    <row r="264" spans="1:13" x14ac:dyDescent="0.6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</row>
    <row r="265" spans="1:13" x14ac:dyDescent="0.6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</row>
    <row r="266" spans="1:13" x14ac:dyDescent="0.6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</row>
    <row r="267" spans="1:13" x14ac:dyDescent="0.6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</row>
    <row r="268" spans="1:13" x14ac:dyDescent="0.6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</row>
    <row r="269" spans="1:13" x14ac:dyDescent="0.6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</row>
    <row r="270" spans="1:13" x14ac:dyDescent="0.6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</row>
    <row r="271" spans="1:13" x14ac:dyDescent="0.6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</row>
    <row r="272" spans="1:13" x14ac:dyDescent="0.6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</row>
    <row r="273" spans="1:13" x14ac:dyDescent="0.6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</row>
    <row r="274" spans="1:13" x14ac:dyDescent="0.6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</row>
    <row r="275" spans="1:13" x14ac:dyDescent="0.6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</row>
    <row r="276" spans="1:13" x14ac:dyDescent="0.6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</row>
    <row r="277" spans="1:13" x14ac:dyDescent="0.6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</row>
    <row r="278" spans="1:13" x14ac:dyDescent="0.6">
      <c r="A278" s="84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</row>
    <row r="279" spans="1:13" x14ac:dyDescent="0.6">
      <c r="A279" s="84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</row>
    <row r="280" spans="1:13" x14ac:dyDescent="0.6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</row>
    <row r="281" spans="1:13" x14ac:dyDescent="0.6">
      <c r="A281" s="84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</row>
    <row r="282" spans="1:13" x14ac:dyDescent="0.6">
      <c r="A282" s="84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</row>
    <row r="283" spans="1:13" x14ac:dyDescent="0.6">
      <c r="A283" s="84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</row>
    <row r="284" spans="1:13" x14ac:dyDescent="0.6">
      <c r="A284" s="84"/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</row>
    <row r="285" spans="1:13" x14ac:dyDescent="0.6">
      <c r="A285" s="84"/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</row>
    <row r="286" spans="1:13" x14ac:dyDescent="0.6">
      <c r="A286" s="84"/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</row>
    <row r="287" spans="1:13" x14ac:dyDescent="0.6">
      <c r="A287" s="84"/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</row>
    <row r="288" spans="1:13" x14ac:dyDescent="0.6">
      <c r="A288" s="84"/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</row>
    <row r="289" spans="1:13" x14ac:dyDescent="0.6">
      <c r="A289" s="84"/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</row>
    <row r="290" spans="1:13" x14ac:dyDescent="0.6">
      <c r="A290" s="84"/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</row>
    <row r="291" spans="1:13" x14ac:dyDescent="0.6">
      <c r="A291" s="84"/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</row>
    <row r="292" spans="1:13" x14ac:dyDescent="0.6">
      <c r="A292" s="84"/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</row>
    <row r="293" spans="1:13" x14ac:dyDescent="0.6">
      <c r="A293" s="84"/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</row>
    <row r="294" spans="1:13" x14ac:dyDescent="0.6">
      <c r="A294" s="84"/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</row>
    <row r="295" spans="1:13" x14ac:dyDescent="0.6">
      <c r="A295" s="84"/>
      <c r="B295" s="84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</row>
    <row r="296" spans="1:13" x14ac:dyDescent="0.6">
      <c r="A296" s="84"/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</row>
    <row r="297" spans="1:13" x14ac:dyDescent="0.6">
      <c r="A297" s="84"/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</row>
    <row r="298" spans="1:13" x14ac:dyDescent="0.6">
      <c r="A298" s="84"/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</row>
    <row r="299" spans="1:13" x14ac:dyDescent="0.6">
      <c r="A299" s="84"/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</row>
  </sheetData>
  <sheetProtection password="DED6" sheet="1" objects="1" scenarios="1" formatCells="0" formatColumns="0" formatRows="0" insertColumns="0" insertRows="0" insertHyperlinks="0" deleteRows="0"/>
  <mergeCells count="301">
    <mergeCell ref="A34:K34"/>
    <mergeCell ref="B35:L35"/>
    <mergeCell ref="A36:C37"/>
    <mergeCell ref="D36:D37"/>
    <mergeCell ref="A5:L5"/>
    <mergeCell ref="A6:L6"/>
    <mergeCell ref="C9:E9"/>
    <mergeCell ref="C10:E10"/>
    <mergeCell ref="C11:E11"/>
    <mergeCell ref="J19:J20"/>
    <mergeCell ref="K19:K20"/>
    <mergeCell ref="A21:L21"/>
    <mergeCell ref="E22:G22"/>
    <mergeCell ref="H22:I22"/>
    <mergeCell ref="A22:C22"/>
    <mergeCell ref="C15:E15"/>
    <mergeCell ref="C16:E16"/>
    <mergeCell ref="A19:C20"/>
    <mergeCell ref="D19:D20"/>
    <mergeCell ref="E19:G20"/>
    <mergeCell ref="H19:I20"/>
    <mergeCell ref="J28:J29"/>
    <mergeCell ref="K28:K29"/>
    <mergeCell ref="A25:K25"/>
    <mergeCell ref="A26:L26"/>
    <mergeCell ref="B27:L27"/>
    <mergeCell ref="B32:C32"/>
    <mergeCell ref="E32:G32"/>
    <mergeCell ref="H32:I32"/>
    <mergeCell ref="B33:C33"/>
    <mergeCell ref="E33:G33"/>
    <mergeCell ref="H33:I33"/>
    <mergeCell ref="B30:C30"/>
    <mergeCell ref="E30:G30"/>
    <mergeCell ref="H30:I30"/>
    <mergeCell ref="B31:C31"/>
    <mergeCell ref="E31:G31"/>
    <mergeCell ref="H31:I31"/>
    <mergeCell ref="A28:C29"/>
    <mergeCell ref="D28:D29"/>
    <mergeCell ref="E28:G29"/>
    <mergeCell ref="H28:I29"/>
    <mergeCell ref="E36:G37"/>
    <mergeCell ref="H36:I37"/>
    <mergeCell ref="J36:J37"/>
    <mergeCell ref="K36:K37"/>
    <mergeCell ref="A43:A44"/>
    <mergeCell ref="B43:C43"/>
    <mergeCell ref="D43:D44"/>
    <mergeCell ref="E43:G43"/>
    <mergeCell ref="H43:I43"/>
    <mergeCell ref="J39:J40"/>
    <mergeCell ref="K39:K40"/>
    <mergeCell ref="E38:G38"/>
    <mergeCell ref="H38:I38"/>
    <mergeCell ref="A39:A40"/>
    <mergeCell ref="B39:C39"/>
    <mergeCell ref="D39:D40"/>
    <mergeCell ref="E39:G39"/>
    <mergeCell ref="H39:I39"/>
    <mergeCell ref="K41:K42"/>
    <mergeCell ref="J47:J48"/>
    <mergeCell ref="K47:K48"/>
    <mergeCell ref="H42:I42"/>
    <mergeCell ref="H44:I44"/>
    <mergeCell ref="L39:L40"/>
    <mergeCell ref="B40:C40"/>
    <mergeCell ref="E40:G40"/>
    <mergeCell ref="B41:C41"/>
    <mergeCell ref="D41:D42"/>
    <mergeCell ref="E41:G41"/>
    <mergeCell ref="H41:I41"/>
    <mergeCell ref="J43:J44"/>
    <mergeCell ref="K43:K44"/>
    <mergeCell ref="L43:L44"/>
    <mergeCell ref="B44:C44"/>
    <mergeCell ref="E44:G44"/>
    <mergeCell ref="H40:I40"/>
    <mergeCell ref="H46:I46"/>
    <mergeCell ref="A47:C48"/>
    <mergeCell ref="D47:D48"/>
    <mergeCell ref="E47:G48"/>
    <mergeCell ref="H47:I48"/>
    <mergeCell ref="B45:C45"/>
    <mergeCell ref="E45:G45"/>
    <mergeCell ref="H45:I45"/>
    <mergeCell ref="J41:J42"/>
    <mergeCell ref="A41:A42"/>
    <mergeCell ref="N57:U57"/>
    <mergeCell ref="B58:C58"/>
    <mergeCell ref="E58:G58"/>
    <mergeCell ref="H58:I58"/>
    <mergeCell ref="B51:C51"/>
    <mergeCell ref="E51:G51"/>
    <mergeCell ref="H51:I51"/>
    <mergeCell ref="E52:G52"/>
    <mergeCell ref="E53:G53"/>
    <mergeCell ref="E54:G54"/>
    <mergeCell ref="H52:I52"/>
    <mergeCell ref="H53:I53"/>
    <mergeCell ref="H54:I54"/>
    <mergeCell ref="H55:I55"/>
    <mergeCell ref="H56:I56"/>
    <mergeCell ref="L41:L42"/>
    <mergeCell ref="B42:C42"/>
    <mergeCell ref="E42:G42"/>
    <mergeCell ref="L59:L60"/>
    <mergeCell ref="B60:C60"/>
    <mergeCell ref="E60:G60"/>
    <mergeCell ref="H60:I60"/>
    <mergeCell ref="A61:C61"/>
    <mergeCell ref="A59:A60"/>
    <mergeCell ref="B59:C59"/>
    <mergeCell ref="D59:D60"/>
    <mergeCell ref="E59:G59"/>
    <mergeCell ref="H59:I59"/>
    <mergeCell ref="J59:J60"/>
    <mergeCell ref="A88:C88"/>
    <mergeCell ref="A89:C89"/>
    <mergeCell ref="D89:E89"/>
    <mergeCell ref="F89:G89"/>
    <mergeCell ref="K89:L89"/>
    <mergeCell ref="A90:C90"/>
    <mergeCell ref="D90:E90"/>
    <mergeCell ref="F90:G90"/>
    <mergeCell ref="A83:K83"/>
    <mergeCell ref="A86:C87"/>
    <mergeCell ref="D86:J86"/>
    <mergeCell ref="K86:L87"/>
    <mergeCell ref="D87:E87"/>
    <mergeCell ref="F87:G87"/>
    <mergeCell ref="A93:C93"/>
    <mergeCell ref="D93:E93"/>
    <mergeCell ref="F93:G93"/>
    <mergeCell ref="A94:C94"/>
    <mergeCell ref="A95:C95"/>
    <mergeCell ref="D95:E95"/>
    <mergeCell ref="F95:G95"/>
    <mergeCell ref="A91:C91"/>
    <mergeCell ref="D91:E91"/>
    <mergeCell ref="F91:G91"/>
    <mergeCell ref="A92:C92"/>
    <mergeCell ref="D92:E92"/>
    <mergeCell ref="F92:G92"/>
    <mergeCell ref="A98:C98"/>
    <mergeCell ref="D98:E98"/>
    <mergeCell ref="F98:G98"/>
    <mergeCell ref="A99:C99"/>
    <mergeCell ref="D99:E99"/>
    <mergeCell ref="F99:G99"/>
    <mergeCell ref="A96:C96"/>
    <mergeCell ref="D96:E96"/>
    <mergeCell ref="F96:G96"/>
    <mergeCell ref="A97:C97"/>
    <mergeCell ref="D97:E97"/>
    <mergeCell ref="F97:G97"/>
    <mergeCell ref="K102:L102"/>
    <mergeCell ref="A103:C103"/>
    <mergeCell ref="D103:E103"/>
    <mergeCell ref="F103:G103"/>
    <mergeCell ref="K103:L103"/>
    <mergeCell ref="D100:E100"/>
    <mergeCell ref="F100:G100"/>
    <mergeCell ref="K100:L100"/>
    <mergeCell ref="A101:C101"/>
    <mergeCell ref="D101:E101"/>
    <mergeCell ref="F101:G101"/>
    <mergeCell ref="K101:L101"/>
    <mergeCell ref="A102:C102"/>
    <mergeCell ref="D102:E102"/>
    <mergeCell ref="F102:G102"/>
    <mergeCell ref="J107:L107"/>
    <mergeCell ref="A108:E108"/>
    <mergeCell ref="F108:G108"/>
    <mergeCell ref="H108:I108"/>
    <mergeCell ref="J108:L108"/>
    <mergeCell ref="A104:C104"/>
    <mergeCell ref="D104:E104"/>
    <mergeCell ref="F104:G104"/>
    <mergeCell ref="K104:L104"/>
    <mergeCell ref="A106:E106"/>
    <mergeCell ref="F106:G106"/>
    <mergeCell ref="H106:I106"/>
    <mergeCell ref="J106:L106"/>
    <mergeCell ref="A107:E107"/>
    <mergeCell ref="F107:G107"/>
    <mergeCell ref="H107:I107"/>
    <mergeCell ref="J111:L111"/>
    <mergeCell ref="A112:I112"/>
    <mergeCell ref="J112:L112"/>
    <mergeCell ref="A124:E124"/>
    <mergeCell ref="F124:G124"/>
    <mergeCell ref="A120:K120"/>
    <mergeCell ref="A121:K121"/>
    <mergeCell ref="A109:E109"/>
    <mergeCell ref="F109:G109"/>
    <mergeCell ref="H109:I109"/>
    <mergeCell ref="J109:L109"/>
    <mergeCell ref="A110:E110"/>
    <mergeCell ref="F110:G110"/>
    <mergeCell ref="H110:I110"/>
    <mergeCell ref="J110:L110"/>
    <mergeCell ref="A111:I111"/>
    <mergeCell ref="I166:K166"/>
    <mergeCell ref="I169:K169"/>
    <mergeCell ref="A139:D139"/>
    <mergeCell ref="E139:H139"/>
    <mergeCell ref="I139:J139"/>
    <mergeCell ref="E140:H140"/>
    <mergeCell ref="I140:J140"/>
    <mergeCell ref="E141:H141"/>
    <mergeCell ref="I141:J141"/>
    <mergeCell ref="E142:H142"/>
    <mergeCell ref="I142:J142"/>
    <mergeCell ref="A158:C158"/>
    <mergeCell ref="I163:J163"/>
    <mergeCell ref="A128:E128"/>
    <mergeCell ref="F128:G128"/>
    <mergeCell ref="A129:E129"/>
    <mergeCell ref="F129:G129"/>
    <mergeCell ref="A130:G130"/>
    <mergeCell ref="A133:D133"/>
    <mergeCell ref="E133:H133"/>
    <mergeCell ref="A125:E125"/>
    <mergeCell ref="F125:G125"/>
    <mergeCell ref="A126:E126"/>
    <mergeCell ref="F126:G126"/>
    <mergeCell ref="A127:E127"/>
    <mergeCell ref="F127:G127"/>
    <mergeCell ref="I133:J133"/>
    <mergeCell ref="E134:H134"/>
    <mergeCell ref="I134:J134"/>
    <mergeCell ref="E135:H135"/>
    <mergeCell ref="I135:J135"/>
    <mergeCell ref="E136:H136"/>
    <mergeCell ref="I136:J136"/>
    <mergeCell ref="A74:C74"/>
    <mergeCell ref="L73:L74"/>
    <mergeCell ref="K73:K74"/>
    <mergeCell ref="J73:J74"/>
    <mergeCell ref="H73:I74"/>
    <mergeCell ref="E73:G74"/>
    <mergeCell ref="D73:D74"/>
    <mergeCell ref="A117:C117"/>
    <mergeCell ref="E117:I117"/>
    <mergeCell ref="A119:C119"/>
    <mergeCell ref="E119:I119"/>
    <mergeCell ref="H79:I79"/>
    <mergeCell ref="E80:G80"/>
    <mergeCell ref="H80:I80"/>
    <mergeCell ref="A81:C81"/>
    <mergeCell ref="E81:G81"/>
    <mergeCell ref="H81:I81"/>
    <mergeCell ref="C13:E13"/>
    <mergeCell ref="A82:K82"/>
    <mergeCell ref="E68:G68"/>
    <mergeCell ref="H68:I68"/>
    <mergeCell ref="A63:K63"/>
    <mergeCell ref="A65:C66"/>
    <mergeCell ref="D65:D66"/>
    <mergeCell ref="E65:G66"/>
    <mergeCell ref="H65:I66"/>
    <mergeCell ref="J65:J66"/>
    <mergeCell ref="K65:K66"/>
    <mergeCell ref="A73:C73"/>
    <mergeCell ref="A69:C69"/>
    <mergeCell ref="E69:G69"/>
    <mergeCell ref="H69:I69"/>
    <mergeCell ref="E70:G70"/>
    <mergeCell ref="H70:I70"/>
    <mergeCell ref="E78:G78"/>
    <mergeCell ref="H78:I78"/>
    <mergeCell ref="A79:C79"/>
    <mergeCell ref="E79:G79"/>
    <mergeCell ref="A71:C71"/>
    <mergeCell ref="E71:G71"/>
    <mergeCell ref="H71:I71"/>
    <mergeCell ref="J75:J76"/>
    <mergeCell ref="K75:K76"/>
    <mergeCell ref="A24:C24"/>
    <mergeCell ref="A23:C23"/>
    <mergeCell ref="H24:I24"/>
    <mergeCell ref="H23:I23"/>
    <mergeCell ref="E24:G24"/>
    <mergeCell ref="E23:G23"/>
    <mergeCell ref="A75:C76"/>
    <mergeCell ref="D75:D76"/>
    <mergeCell ref="E75:G76"/>
    <mergeCell ref="H75:I76"/>
    <mergeCell ref="K59:K60"/>
    <mergeCell ref="E55:G55"/>
    <mergeCell ref="E56:G56"/>
    <mergeCell ref="E57:G57"/>
    <mergeCell ref="H57:I57"/>
    <mergeCell ref="E49:G49"/>
    <mergeCell ref="H49:I49"/>
    <mergeCell ref="B50:C50"/>
    <mergeCell ref="E50:G50"/>
    <mergeCell ref="H50:I50"/>
    <mergeCell ref="B46:C46"/>
    <mergeCell ref="E46:G46"/>
  </mergeCells>
  <conditionalFormatting sqref="L62">
    <cfRule type="expression" dxfId="24" priority="4">
      <formula>($L$62&lt;&gt;"")</formula>
    </cfRule>
  </conditionalFormatting>
  <dataValidations count="2">
    <dataValidation type="list" allowBlank="1" showInputMessage="1" showErrorMessage="1" promptTitle="กรุณาเลือกรอบการประเมิน" sqref="A27" xr:uid="{00000000-0002-0000-0200-000000000000}">
      <formula1>RoundNumber</formula1>
    </dataValidation>
    <dataValidation type="list" allowBlank="1" showInputMessage="1" showErrorMessage="1" sqref="C13:E13" xr:uid="{00000000-0002-0000-0200-000001000000}">
      <formula1>RoundNumber</formula1>
    </dataValidation>
  </dataValidations>
  <printOptions horizontalCentered="1"/>
  <pageMargins left="0.39370078740157483" right="0.39370078740157483" top="0.51181102362204722" bottom="0.27559055118110237" header="0.39370078740157483" footer="0.19685039370078741"/>
  <pageSetup paperSize="9" scale="99" orientation="landscape" r:id="rId1"/>
  <headerFooter alignWithMargins="0">
    <oddFooter>&amp;C&amp;"TH SarabunPSK,ตัวหนา"&amp;12APS v.4.4 ข้าราชการ</oddFooter>
  </headerFooter>
  <rowBreaks count="10" manualBreakCount="10">
    <brk id="17" max="11" man="1"/>
    <brk id="34" max="11" man="1"/>
    <brk id="46" max="11" man="1"/>
    <brk id="63" max="11" man="1"/>
    <brk id="74" max="11" man="1"/>
    <brk id="84" max="11" man="1"/>
    <brk id="105" max="11" man="1"/>
    <brk id="122" max="11" man="1"/>
    <brk id="143" max="11" man="1"/>
    <brk id="166" max="11" man="1"/>
  </rowBreaks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5</xdr:col>
                    <xdr:colOff>361950</xdr:colOff>
                    <xdr:row>88</xdr:row>
                    <xdr:rowOff>47625</xdr:rowOff>
                  </from>
                  <to>
                    <xdr:col>6</xdr:col>
                    <xdr:colOff>409575</xdr:colOff>
                    <xdr:row>88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5</xdr:col>
                    <xdr:colOff>361950</xdr:colOff>
                    <xdr:row>89</xdr:row>
                    <xdr:rowOff>47625</xdr:rowOff>
                  </from>
                  <to>
                    <xdr:col>6</xdr:col>
                    <xdr:colOff>409575</xdr:colOff>
                    <xdr:row>89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361950</xdr:colOff>
                    <xdr:row>90</xdr:row>
                    <xdr:rowOff>47625</xdr:rowOff>
                  </from>
                  <to>
                    <xdr:col>6</xdr:col>
                    <xdr:colOff>409575</xdr:colOff>
                    <xdr:row>90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5</xdr:col>
                    <xdr:colOff>361950</xdr:colOff>
                    <xdr:row>91</xdr:row>
                    <xdr:rowOff>47625</xdr:rowOff>
                  </from>
                  <to>
                    <xdr:col>6</xdr:col>
                    <xdr:colOff>409575</xdr:colOff>
                    <xdr:row>91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5</xdr:col>
                    <xdr:colOff>361950</xdr:colOff>
                    <xdr:row>92</xdr:row>
                    <xdr:rowOff>47625</xdr:rowOff>
                  </from>
                  <to>
                    <xdr:col>6</xdr:col>
                    <xdr:colOff>409575</xdr:colOff>
                    <xdr:row>92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5</xdr:col>
                    <xdr:colOff>361950</xdr:colOff>
                    <xdr:row>94</xdr:row>
                    <xdr:rowOff>47625</xdr:rowOff>
                  </from>
                  <to>
                    <xdr:col>6</xdr:col>
                    <xdr:colOff>409575</xdr:colOff>
                    <xdr:row>94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5</xdr:col>
                    <xdr:colOff>361950</xdr:colOff>
                    <xdr:row>95</xdr:row>
                    <xdr:rowOff>47625</xdr:rowOff>
                  </from>
                  <to>
                    <xdr:col>6</xdr:col>
                    <xdr:colOff>409575</xdr:colOff>
                    <xdr:row>95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5</xdr:col>
                    <xdr:colOff>361950</xdr:colOff>
                    <xdr:row>96</xdr:row>
                    <xdr:rowOff>47625</xdr:rowOff>
                  </from>
                  <to>
                    <xdr:col>6</xdr:col>
                    <xdr:colOff>409575</xdr:colOff>
                    <xdr:row>96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5</xdr:col>
                    <xdr:colOff>361950</xdr:colOff>
                    <xdr:row>97</xdr:row>
                    <xdr:rowOff>47625</xdr:rowOff>
                  </from>
                  <to>
                    <xdr:col>6</xdr:col>
                    <xdr:colOff>409575</xdr:colOff>
                    <xdr:row>97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5</xdr:col>
                    <xdr:colOff>361950</xdr:colOff>
                    <xdr:row>98</xdr:row>
                    <xdr:rowOff>47625</xdr:rowOff>
                  </from>
                  <to>
                    <xdr:col>6</xdr:col>
                    <xdr:colOff>409575</xdr:colOff>
                    <xdr:row>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Drop Down 11">
              <controlPr defaultSize="0" autoLine="0" autoPict="0">
                <anchor moveWithCells="1">
                  <from>
                    <xdr:col>7</xdr:col>
                    <xdr:colOff>219075</xdr:colOff>
                    <xdr:row>88</xdr:row>
                    <xdr:rowOff>47625</xdr:rowOff>
                  </from>
                  <to>
                    <xdr:col>7</xdr:col>
                    <xdr:colOff>914400</xdr:colOff>
                    <xdr:row>88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Drop Down 12">
              <controlPr defaultSize="0" autoLine="0" autoPict="0">
                <anchor moveWithCells="1">
                  <from>
                    <xdr:col>7</xdr:col>
                    <xdr:colOff>209550</xdr:colOff>
                    <xdr:row>89</xdr:row>
                    <xdr:rowOff>47625</xdr:rowOff>
                  </from>
                  <to>
                    <xdr:col>7</xdr:col>
                    <xdr:colOff>904875</xdr:colOff>
                    <xdr:row>89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Drop Down 13">
              <controlPr defaultSize="0" autoLine="0" autoPict="0">
                <anchor moveWithCells="1">
                  <from>
                    <xdr:col>7</xdr:col>
                    <xdr:colOff>209550</xdr:colOff>
                    <xdr:row>90</xdr:row>
                    <xdr:rowOff>47625</xdr:rowOff>
                  </from>
                  <to>
                    <xdr:col>7</xdr:col>
                    <xdr:colOff>904875</xdr:colOff>
                    <xdr:row>90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Drop Down 14">
              <controlPr defaultSize="0" autoLine="0" autoPict="0">
                <anchor moveWithCells="1">
                  <from>
                    <xdr:col>7</xdr:col>
                    <xdr:colOff>209550</xdr:colOff>
                    <xdr:row>91</xdr:row>
                    <xdr:rowOff>47625</xdr:rowOff>
                  </from>
                  <to>
                    <xdr:col>7</xdr:col>
                    <xdr:colOff>904875</xdr:colOff>
                    <xdr:row>91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Drop Down 15">
              <controlPr defaultSize="0" autoLine="0" autoPict="0">
                <anchor moveWithCells="1">
                  <from>
                    <xdr:col>7</xdr:col>
                    <xdr:colOff>209550</xdr:colOff>
                    <xdr:row>92</xdr:row>
                    <xdr:rowOff>47625</xdr:rowOff>
                  </from>
                  <to>
                    <xdr:col>7</xdr:col>
                    <xdr:colOff>904875</xdr:colOff>
                    <xdr:row>92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Drop Down 16">
              <controlPr defaultSize="0" autoLine="0" autoPict="0">
                <anchor moveWithCells="1">
                  <from>
                    <xdr:col>7</xdr:col>
                    <xdr:colOff>219075</xdr:colOff>
                    <xdr:row>94</xdr:row>
                    <xdr:rowOff>47625</xdr:rowOff>
                  </from>
                  <to>
                    <xdr:col>7</xdr:col>
                    <xdr:colOff>914400</xdr:colOff>
                    <xdr:row>94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Drop Down 17">
              <controlPr defaultSize="0" autoLine="0" autoPict="0">
                <anchor moveWithCells="1">
                  <from>
                    <xdr:col>7</xdr:col>
                    <xdr:colOff>219075</xdr:colOff>
                    <xdr:row>95</xdr:row>
                    <xdr:rowOff>47625</xdr:rowOff>
                  </from>
                  <to>
                    <xdr:col>7</xdr:col>
                    <xdr:colOff>914400</xdr:colOff>
                    <xdr:row>95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Drop Down 18">
              <controlPr defaultSize="0" autoLine="0" autoPict="0">
                <anchor moveWithCells="1">
                  <from>
                    <xdr:col>7</xdr:col>
                    <xdr:colOff>219075</xdr:colOff>
                    <xdr:row>96</xdr:row>
                    <xdr:rowOff>47625</xdr:rowOff>
                  </from>
                  <to>
                    <xdr:col>7</xdr:col>
                    <xdr:colOff>914400</xdr:colOff>
                    <xdr:row>96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Drop Down 19">
              <controlPr defaultSize="0" autoLine="0" autoPict="0">
                <anchor moveWithCells="1">
                  <from>
                    <xdr:col>7</xdr:col>
                    <xdr:colOff>228600</xdr:colOff>
                    <xdr:row>97</xdr:row>
                    <xdr:rowOff>47625</xdr:rowOff>
                  </from>
                  <to>
                    <xdr:col>7</xdr:col>
                    <xdr:colOff>923925</xdr:colOff>
                    <xdr:row>97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Drop Down 20">
              <controlPr defaultSize="0" autoLine="0" autoPict="0">
                <anchor moveWithCells="1">
                  <from>
                    <xdr:col>7</xdr:col>
                    <xdr:colOff>228600</xdr:colOff>
                    <xdr:row>98</xdr:row>
                    <xdr:rowOff>47625</xdr:rowOff>
                  </from>
                  <to>
                    <xdr:col>7</xdr:col>
                    <xdr:colOff>923925</xdr:colOff>
                    <xdr:row>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Drop Down 21">
              <controlPr defaultSize="0" autoLine="0" autoPict="0">
                <anchor moveWithCells="1">
                  <from>
                    <xdr:col>5</xdr:col>
                    <xdr:colOff>361950</xdr:colOff>
                    <xdr:row>100</xdr:row>
                    <xdr:rowOff>47625</xdr:rowOff>
                  </from>
                  <to>
                    <xdr:col>6</xdr:col>
                    <xdr:colOff>409575</xdr:colOff>
                    <xdr:row>100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Drop Down 22">
              <controlPr defaultSize="0" autoLine="0" autoPict="0">
                <anchor moveWithCells="1">
                  <from>
                    <xdr:col>5</xdr:col>
                    <xdr:colOff>361950</xdr:colOff>
                    <xdr:row>101</xdr:row>
                    <xdr:rowOff>47625</xdr:rowOff>
                  </from>
                  <to>
                    <xdr:col>6</xdr:col>
                    <xdr:colOff>409575</xdr:colOff>
                    <xdr:row>101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Drop Down 23">
              <controlPr defaultSize="0" autoLine="0" autoPict="0">
                <anchor moveWithCells="1">
                  <from>
                    <xdr:col>5</xdr:col>
                    <xdr:colOff>361950</xdr:colOff>
                    <xdr:row>102</xdr:row>
                    <xdr:rowOff>47625</xdr:rowOff>
                  </from>
                  <to>
                    <xdr:col>6</xdr:col>
                    <xdr:colOff>409575</xdr:colOff>
                    <xdr:row>102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Drop Down 24">
              <controlPr defaultSize="0" autoLine="0" autoPict="0">
                <anchor moveWithCells="1">
                  <from>
                    <xdr:col>5</xdr:col>
                    <xdr:colOff>361950</xdr:colOff>
                    <xdr:row>103</xdr:row>
                    <xdr:rowOff>47625</xdr:rowOff>
                  </from>
                  <to>
                    <xdr:col>6</xdr:col>
                    <xdr:colOff>409575</xdr:colOff>
                    <xdr:row>103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Drop Down 25">
              <controlPr defaultSize="0" autoLine="0" autoPict="0">
                <anchor moveWithCells="1">
                  <from>
                    <xdr:col>7</xdr:col>
                    <xdr:colOff>228600</xdr:colOff>
                    <xdr:row>100</xdr:row>
                    <xdr:rowOff>47625</xdr:rowOff>
                  </from>
                  <to>
                    <xdr:col>7</xdr:col>
                    <xdr:colOff>923925</xdr:colOff>
                    <xdr:row>100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Drop Down 26">
              <controlPr defaultSize="0" autoLine="0" autoPict="0">
                <anchor moveWithCells="1">
                  <from>
                    <xdr:col>7</xdr:col>
                    <xdr:colOff>228600</xdr:colOff>
                    <xdr:row>101</xdr:row>
                    <xdr:rowOff>47625</xdr:rowOff>
                  </from>
                  <to>
                    <xdr:col>7</xdr:col>
                    <xdr:colOff>923925</xdr:colOff>
                    <xdr:row>101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Drop Down 27">
              <controlPr defaultSize="0" autoLine="0" autoPict="0">
                <anchor moveWithCells="1">
                  <from>
                    <xdr:col>7</xdr:col>
                    <xdr:colOff>228600</xdr:colOff>
                    <xdr:row>102</xdr:row>
                    <xdr:rowOff>47625</xdr:rowOff>
                  </from>
                  <to>
                    <xdr:col>7</xdr:col>
                    <xdr:colOff>923925</xdr:colOff>
                    <xdr:row>102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Drop Down 28">
              <controlPr defaultSize="0" autoLine="0" autoPict="0">
                <anchor moveWithCells="1">
                  <from>
                    <xdr:col>7</xdr:col>
                    <xdr:colOff>228600</xdr:colOff>
                    <xdr:row>103</xdr:row>
                    <xdr:rowOff>47625</xdr:rowOff>
                  </from>
                  <to>
                    <xdr:col>7</xdr:col>
                    <xdr:colOff>923925</xdr:colOff>
                    <xdr:row>103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38100</xdr:rowOff>
                  </from>
                  <to>
                    <xdr:col>6</xdr:col>
                    <xdr:colOff>485775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19050</xdr:rowOff>
                  </from>
                  <to>
                    <xdr:col>6</xdr:col>
                    <xdr:colOff>485775</xdr:colOff>
                    <xdr:row>140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19050</xdr:rowOff>
                  </from>
                  <to>
                    <xdr:col>6</xdr:col>
                    <xdr:colOff>485775</xdr:colOff>
                    <xdr:row>141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2</xdr:col>
                    <xdr:colOff>1390650</xdr:colOff>
                    <xdr:row>144</xdr:row>
                    <xdr:rowOff>38100</xdr:rowOff>
                  </from>
                  <to>
                    <xdr:col>3</xdr:col>
                    <xdr:colOff>28575</xdr:colOff>
                    <xdr:row>144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2</xdr:col>
                    <xdr:colOff>1390650</xdr:colOff>
                    <xdr:row>145</xdr:row>
                    <xdr:rowOff>38100</xdr:rowOff>
                  </from>
                  <to>
                    <xdr:col>3</xdr:col>
                    <xdr:colOff>28575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2</xdr:col>
                    <xdr:colOff>1390650</xdr:colOff>
                    <xdr:row>146</xdr:row>
                    <xdr:rowOff>19050</xdr:rowOff>
                  </from>
                  <to>
                    <xdr:col>3</xdr:col>
                    <xdr:colOff>28575</xdr:colOff>
                    <xdr:row>146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2</xdr:col>
                    <xdr:colOff>1390650</xdr:colOff>
                    <xdr:row>147</xdr:row>
                    <xdr:rowOff>19050</xdr:rowOff>
                  </from>
                  <to>
                    <xdr:col>3</xdr:col>
                    <xdr:colOff>28575</xdr:colOff>
                    <xdr:row>147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2</xdr:col>
                    <xdr:colOff>1390650</xdr:colOff>
                    <xdr:row>148</xdr:row>
                    <xdr:rowOff>19050</xdr:rowOff>
                  </from>
                  <to>
                    <xdr:col>3</xdr:col>
                    <xdr:colOff>28575</xdr:colOff>
                    <xdr:row>148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00FF00"/>
  </sheetPr>
  <dimension ref="A1:P141"/>
  <sheetViews>
    <sheetView showGridLines="0" topLeftCell="B1" zoomScaleNormal="100" workbookViewId="0">
      <selection activeCell="B70" sqref="B70:J70"/>
    </sheetView>
  </sheetViews>
  <sheetFormatPr defaultRowHeight="12.75" x14ac:dyDescent="0.2"/>
  <cols>
    <col min="1" max="1" width="1.5" style="92" customWidth="1"/>
    <col min="2" max="2" width="4" style="92" customWidth="1"/>
    <col min="3" max="4" width="11.875" style="92" customWidth="1"/>
    <col min="5" max="5" width="10.375" style="92" bestFit="1" customWidth="1"/>
    <col min="6" max="6" width="10.75" style="92" customWidth="1"/>
    <col min="7" max="7" width="11.875" style="92" customWidth="1"/>
    <col min="8" max="9" width="11.25" style="92" customWidth="1"/>
    <col min="10" max="10" width="9.75" style="92" customWidth="1"/>
    <col min="11" max="11" width="11.5" style="90" customWidth="1"/>
    <col min="12" max="12" width="10.25" style="90" customWidth="1"/>
    <col min="13" max="13" width="9.875" style="90" customWidth="1"/>
    <col min="14" max="14" width="9" style="90"/>
    <col min="15" max="16" width="9" style="90" hidden="1" customWidth="1"/>
    <col min="17" max="16384" width="9" style="90"/>
  </cols>
  <sheetData>
    <row r="1" spans="2:12" ht="15.75" x14ac:dyDescent="0.25">
      <c r="B1" s="2836" t="s">
        <v>1173</v>
      </c>
      <c r="C1" s="2836"/>
      <c r="D1" s="2836"/>
      <c r="E1" s="2836"/>
      <c r="F1" s="2836"/>
      <c r="G1" s="2836"/>
      <c r="H1" s="2836"/>
      <c r="I1" s="2836"/>
      <c r="J1" s="2836"/>
      <c r="K1" s="2836"/>
      <c r="L1" s="2836"/>
    </row>
    <row r="2" spans="2:12" ht="15.75" x14ac:dyDescent="0.25">
      <c r="B2" s="2836" t="s">
        <v>1198</v>
      </c>
      <c r="C2" s="2836"/>
      <c r="D2" s="2836"/>
      <c r="E2" s="2836"/>
      <c r="F2" s="2836"/>
      <c r="G2" s="2836"/>
      <c r="H2" s="2836"/>
      <c r="I2" s="2836"/>
      <c r="J2" s="2836"/>
      <c r="K2" s="2836"/>
      <c r="L2" s="2836"/>
    </row>
    <row r="3" spans="2:12" x14ac:dyDescent="0.2">
      <c r="B3" s="91"/>
      <c r="C3" s="91"/>
      <c r="D3" s="91"/>
      <c r="G3" s="93"/>
    </row>
    <row r="4" spans="2:12" hidden="1" x14ac:dyDescent="0.2">
      <c r="B4" s="94" t="s">
        <v>307</v>
      </c>
      <c r="C4" s="91"/>
      <c r="D4" s="91"/>
      <c r="G4" s="93"/>
    </row>
    <row r="5" spans="2:12" hidden="1" x14ac:dyDescent="0.2">
      <c r="B5" s="91"/>
      <c r="C5" s="95" t="s">
        <v>308</v>
      </c>
      <c r="D5" s="95"/>
      <c r="G5" s="93"/>
    </row>
    <row r="6" spans="2:12" hidden="1" x14ac:dyDescent="0.2">
      <c r="B6" s="91"/>
      <c r="C6" s="95" t="s">
        <v>309</v>
      </c>
      <c r="D6" s="95"/>
      <c r="G6" s="93"/>
    </row>
    <row r="7" spans="2:12" x14ac:dyDescent="0.2">
      <c r="B7" s="91"/>
      <c r="C7" s="91"/>
      <c r="D7" s="91"/>
      <c r="G7" s="93"/>
    </row>
    <row r="8" spans="2:12" ht="19.5" customHeight="1" x14ac:dyDescent="0.2">
      <c r="B8" s="2853" t="s">
        <v>310</v>
      </c>
      <c r="C8" s="2854"/>
      <c r="D8" s="2854"/>
      <c r="E8" s="2854"/>
      <c r="F8" s="2854"/>
      <c r="G8" s="2854"/>
      <c r="H8" s="2854"/>
      <c r="I8" s="2855"/>
    </row>
    <row r="9" spans="2:12" x14ac:dyDescent="0.2">
      <c r="B9" s="96"/>
      <c r="C9" s="97"/>
      <c r="D9" s="97"/>
      <c r="E9" s="98"/>
      <c r="F9" s="98"/>
      <c r="G9" s="99"/>
      <c r="H9" s="100"/>
      <c r="I9" s="101"/>
    </row>
    <row r="10" spans="2:12" ht="19.5" customHeight="1" x14ac:dyDescent="0.2">
      <c r="B10" s="102"/>
      <c r="C10" s="103" t="s">
        <v>311</v>
      </c>
      <c r="D10" s="2856" t="str">
        <f>IF('แบบข้อตกลง TOR (ป.วช.-01)'!C9="","",'แบบข้อตกลง TOR (ป.วช.-01)'!C9)</f>
        <v/>
      </c>
      <c r="E10" s="2856"/>
      <c r="F10" s="2856"/>
      <c r="G10" s="2856"/>
      <c r="H10" s="2856"/>
      <c r="I10" s="104"/>
      <c r="J10" s="105"/>
    </row>
    <row r="11" spans="2:12" ht="19.5" customHeight="1" x14ac:dyDescent="0.2">
      <c r="B11" s="102"/>
      <c r="C11" s="103" t="s">
        <v>312</v>
      </c>
      <c r="D11" s="2839" t="str">
        <f>IF('แบบข้อตกลง TOR (ป.วช.-01)'!C11="","",'แบบข้อตกลง TOR (ป.วช.-01)'!C11)</f>
        <v>อาจารย์</v>
      </c>
      <c r="E11" s="2839"/>
      <c r="F11" s="2839"/>
      <c r="G11" s="2839"/>
      <c r="H11" s="2839"/>
      <c r="I11" s="104"/>
      <c r="J11" s="105"/>
    </row>
    <row r="12" spans="2:12" ht="19.5" customHeight="1" x14ac:dyDescent="0.2">
      <c r="B12" s="102"/>
      <c r="C12" s="103" t="s">
        <v>313</v>
      </c>
      <c r="D12" s="2839" t="str">
        <f>IF('แบบข้อตกลง TOR (ป.วช.-01)'!J11="","",'แบบข้อตกลง TOR (ป.วช.-01)'!J11)</f>
        <v>คณะวิทยาศาสตร์</v>
      </c>
      <c r="E12" s="2839"/>
      <c r="F12" s="2839"/>
      <c r="G12" s="2839"/>
      <c r="H12" s="2839"/>
      <c r="I12" s="104"/>
      <c r="J12" s="105"/>
    </row>
    <row r="13" spans="2:12" ht="19.5" customHeight="1" x14ac:dyDescent="0.2">
      <c r="B13" s="102"/>
      <c r="C13" s="103" t="s">
        <v>421</v>
      </c>
      <c r="D13" s="1429" t="str">
        <f>IF('แบบข้อตกลง TOR (ป.วช.-01)'!J13="","",'แบบข้อตกลง TOR (ป.วช.-01)'!J13)</f>
        <v/>
      </c>
      <c r="E13" s="1429"/>
      <c r="F13" s="1429"/>
      <c r="G13" s="1429"/>
      <c r="H13" s="1429"/>
      <c r="I13" s="104"/>
      <c r="J13" s="105"/>
    </row>
    <row r="14" spans="2:12" ht="19.5" customHeight="1" x14ac:dyDescent="0.2">
      <c r="B14" s="102"/>
      <c r="C14" s="103" t="s">
        <v>314</v>
      </c>
      <c r="D14" s="2839" t="str">
        <f>'แบบข้อตกลง TOR (ป.วช.-01)'!C13</f>
        <v>ไม่มี</v>
      </c>
      <c r="E14" s="2839"/>
      <c r="F14" s="2839"/>
      <c r="G14" s="2839"/>
      <c r="H14" s="2839"/>
      <c r="I14" s="104"/>
      <c r="J14" s="105"/>
    </row>
    <row r="15" spans="2:12" x14ac:dyDescent="0.2">
      <c r="B15" s="106"/>
      <c r="C15" s="107"/>
      <c r="D15" s="107"/>
      <c r="E15" s="108"/>
      <c r="F15" s="108"/>
      <c r="G15" s="109"/>
      <c r="H15" s="110"/>
      <c r="I15" s="111"/>
    </row>
    <row r="16" spans="2:12" x14ac:dyDescent="0.2">
      <c r="B16" s="112"/>
      <c r="C16" s="113"/>
      <c r="D16" s="113"/>
      <c r="E16" s="114"/>
      <c r="F16" s="114"/>
      <c r="G16" s="93"/>
    </row>
    <row r="17" spans="2:16" x14ac:dyDescent="0.2">
      <c r="B17" s="112"/>
      <c r="C17" s="113"/>
      <c r="D17" s="113"/>
      <c r="E17" s="114"/>
      <c r="F17" s="114"/>
      <c r="G17" s="93"/>
    </row>
    <row r="18" spans="2:16" ht="15" x14ac:dyDescent="0.25">
      <c r="B18" s="2845" t="s">
        <v>894</v>
      </c>
      <c r="C18" s="2845"/>
      <c r="D18" s="2845"/>
      <c r="E18" s="2845"/>
      <c r="F18" s="2845"/>
      <c r="G18" s="2845"/>
      <c r="H18" s="2845"/>
    </row>
    <row r="19" spans="2:16" ht="15" customHeight="1" x14ac:dyDescent="0.2">
      <c r="B19" s="2879" t="s">
        <v>12</v>
      </c>
      <c r="C19" s="2880"/>
      <c r="D19" s="2881"/>
      <c r="E19" s="2861" t="s">
        <v>962</v>
      </c>
      <c r="F19" s="2862"/>
      <c r="G19" s="2862"/>
      <c r="H19" s="2862"/>
      <c r="I19" s="2863"/>
      <c r="J19" s="2861" t="s">
        <v>228</v>
      </c>
      <c r="K19" s="2862"/>
      <c r="L19" s="2863"/>
    </row>
    <row r="20" spans="2:16" ht="14.25" customHeight="1" x14ac:dyDescent="0.2">
      <c r="B20" s="2882"/>
      <c r="C20" s="2883"/>
      <c r="D20" s="2884"/>
      <c r="E20" s="1517" t="s">
        <v>24</v>
      </c>
      <c r="F20" s="2857" t="s">
        <v>1027</v>
      </c>
      <c r="G20" s="2860" t="s">
        <v>1174</v>
      </c>
      <c r="H20" s="2857" t="s">
        <v>1023</v>
      </c>
      <c r="I20" s="2850" t="s">
        <v>1025</v>
      </c>
      <c r="J20" s="2850" t="s">
        <v>1027</v>
      </c>
      <c r="K20" s="2857" t="s">
        <v>1028</v>
      </c>
      <c r="L20" s="2864" t="s">
        <v>1029</v>
      </c>
    </row>
    <row r="21" spans="2:16" ht="15" customHeight="1" x14ac:dyDescent="0.2">
      <c r="B21" s="2882"/>
      <c r="C21" s="2883"/>
      <c r="D21" s="2884"/>
      <c r="E21" s="1518" t="s">
        <v>892</v>
      </c>
      <c r="F21" s="2858"/>
      <c r="G21" s="2851"/>
      <c r="H21" s="2858"/>
      <c r="I21" s="2851"/>
      <c r="J21" s="2851"/>
      <c r="K21" s="2858"/>
      <c r="L21" s="2865"/>
    </row>
    <row r="22" spans="2:16" x14ac:dyDescent="0.2">
      <c r="B22" s="2882"/>
      <c r="C22" s="2883"/>
      <c r="D22" s="2884"/>
      <c r="E22" s="1518" t="s">
        <v>35</v>
      </c>
      <c r="F22" s="2858"/>
      <c r="G22" s="2851"/>
      <c r="H22" s="2858"/>
      <c r="I22" s="2851"/>
      <c r="J22" s="2851"/>
      <c r="K22" s="2858"/>
      <c r="L22" s="2865"/>
    </row>
    <row r="23" spans="2:16" ht="20.25" customHeight="1" x14ac:dyDescent="0.2">
      <c r="B23" s="2882"/>
      <c r="C23" s="2883"/>
      <c r="D23" s="2884"/>
      <c r="E23" s="1538" t="s">
        <v>893</v>
      </c>
      <c r="F23" s="2859"/>
      <c r="G23" s="2852"/>
      <c r="H23" s="2859"/>
      <c r="I23" s="2852"/>
      <c r="J23" s="2852"/>
      <c r="K23" s="2859"/>
      <c r="L23" s="2865"/>
    </row>
    <row r="24" spans="2:16" ht="20.25" customHeight="1" x14ac:dyDescent="0.2">
      <c r="B24" s="2885"/>
      <c r="C24" s="2886"/>
      <c r="D24" s="2887"/>
      <c r="E24" s="1528" t="s">
        <v>316</v>
      </c>
      <c r="F24" s="1528" t="s">
        <v>1019</v>
      </c>
      <c r="G24" s="1528" t="s">
        <v>1020</v>
      </c>
      <c r="H24" s="1528" t="s">
        <v>1022</v>
      </c>
      <c r="I24" s="1528" t="s">
        <v>1024</v>
      </c>
      <c r="J24" s="1528" t="s">
        <v>1021</v>
      </c>
      <c r="K24" s="1528" t="s">
        <v>22</v>
      </c>
      <c r="L24" s="1528" t="s">
        <v>1026</v>
      </c>
    </row>
    <row r="25" spans="2:16" ht="19.5" customHeight="1" x14ac:dyDescent="0.2">
      <c r="B25" s="1044" t="s">
        <v>699</v>
      </c>
      <c r="C25" s="1042"/>
      <c r="D25" s="1043"/>
      <c r="E25" s="1522" t="str">
        <f>IF(AND('แบบข้อตกลง TOR (ป.วช.-01)'!AD9 &lt;&gt; 0,'แบบข้อตกลง TOR (ป.วช.-01)'!AD9 &lt;&gt; ""),'แบบข้อตกลง TOR (ป.วช.-01)'!AD9,"")</f>
        <v/>
      </c>
      <c r="F25" s="1281" t="str">
        <f>IF(AND('แบบประเมิน(ป.วช-02)'!W25&lt;&gt;"",'แบบประเมิน(ป.วช-02)'!W25&lt;&gt;0),('แบบประเมิน(ป.วช-02)'!W25*E25)/'แบบข้อตกลง TOR (ป.วช.-01)'!AC9,"")</f>
        <v/>
      </c>
      <c r="G25" s="1523" t="str">
        <f>IF(F25&lt;&gt;"",('แบบประเมิน(ป.วช-02)'!L25*E25)/'แบบข้อตกลง TOR (ป.วช.-01)'!AC9,"")</f>
        <v/>
      </c>
      <c r="H25" s="115"/>
      <c r="I25" s="115"/>
      <c r="J25" s="122"/>
      <c r="K25" s="122"/>
      <c r="L25" s="122"/>
      <c r="O25" s="2069">
        <f>'แบบข้อตกลง TOR (ป.วช.-01)'!K73</f>
        <v>25</v>
      </c>
      <c r="P25" s="2069">
        <f>'แบบข้อตกลง TOR (ป.วช.-01)'!K74</f>
        <v>10</v>
      </c>
    </row>
    <row r="26" spans="2:16" ht="19.5" customHeight="1" x14ac:dyDescent="0.2">
      <c r="B26" s="2840" t="s">
        <v>700</v>
      </c>
      <c r="C26" s="2841"/>
      <c r="D26" s="2842"/>
      <c r="E26" s="1522">
        <f>IF(AND('แบบข้อตกลง TOR (ป.วช.-01)'!AD11 &lt;&gt; 0,'แบบข้อตกลง TOR (ป.วช.-01)'!AD11 &lt;&gt; ""),'แบบข้อตกลง TOR (ป.วช.-01)'!AD11,"")</f>
        <v>35</v>
      </c>
      <c r="F26" s="1282">
        <f>'แบบข้อตกลง TOR (ป.วช.-01)'!I43</f>
        <v>0</v>
      </c>
      <c r="G26" s="1524">
        <f>SUM(G27:G30)</f>
        <v>0</v>
      </c>
      <c r="H26" s="115" t="str">
        <f t="shared" ref="H26:H30" si="0">IF(AND(F26=0,G26=0),"",IF(G26&lt;&gt;"",IF(G26&lt;F26,"Unsatisfied","Satisfied"),""))</f>
        <v/>
      </c>
      <c r="I26" s="115" t="str">
        <f>IF(G26&lt;&gt;"",IF(G26&lt;E26,"Unsatisfied","Satisfied"),"")</f>
        <v>Unsatisfied</v>
      </c>
      <c r="J26" s="1531">
        <f>IF('แบบข้อตกลง TOR (ป.วช.-01)'!I74&lt;&gt;"",'แบบข้อตกลง TOR (ป.วช.-01)'!I74,'แบบข้อตกลง TOR (ป.วช.-01)'!K74)</f>
        <v>0</v>
      </c>
      <c r="K26" s="1534">
        <f>P26</f>
        <v>0</v>
      </c>
      <c r="L26" s="115" t="str">
        <f>IF(AND(J26=0,K26=0),"",IF(K26&lt;&gt;"",IF(K26&lt;J26,"Unsatisfied","Satisfied"),""))</f>
        <v/>
      </c>
      <c r="O26" s="1521">
        <f>SUM(K27:K29)</f>
        <v>0</v>
      </c>
      <c r="P26" s="1521">
        <f>IF('แบบข้อตกลง TOR (ป.วช.-01)'!C13="ไม่มี",(O26*P25)/O25,IF((O26*10)/O25 &gt; P25, P25, (O26*10)/O25))</f>
        <v>0</v>
      </c>
    </row>
    <row r="27" spans="2:16" ht="19.5" customHeight="1" x14ac:dyDescent="0.2">
      <c r="B27" s="117">
        <v>2.1</v>
      </c>
      <c r="C27" s="2843" t="s">
        <v>64</v>
      </c>
      <c r="D27" s="2844"/>
      <c r="E27" s="1286">
        <v>15</v>
      </c>
      <c r="F27" s="1283">
        <f>'แบบข้อตกลง TOR (ป.วช.-01)'!I39</f>
        <v>0</v>
      </c>
      <c r="G27" s="1525">
        <f>L60</f>
        <v>0</v>
      </c>
      <c r="H27" s="1045" t="str">
        <f t="shared" si="0"/>
        <v/>
      </c>
      <c r="I27" s="118" t="str">
        <f>IF(G27&lt;&gt;"",IF(G27&lt;E27,"Unsatisfied","Satisfied"),"")</f>
        <v>Unsatisfied</v>
      </c>
      <c r="J27" s="1532">
        <f>'แบบข้อตกลง TOR (ป.วช.-01)'!I47</f>
        <v>0</v>
      </c>
      <c r="K27" s="1535">
        <f>L70</f>
        <v>0</v>
      </c>
      <c r="L27" s="1045" t="str">
        <f>IF(AND(J27=0,K27=0),"",IF(K27&lt;&gt;"",IF(K27&lt;J27,"Unsatisfied","Satisfied"),""))</f>
        <v/>
      </c>
    </row>
    <row r="28" spans="2:16" ht="19.5" customHeight="1" x14ac:dyDescent="0.2">
      <c r="B28" s="119">
        <v>2.2000000000000002</v>
      </c>
      <c r="C28" s="2846" t="s">
        <v>67</v>
      </c>
      <c r="D28" s="2847"/>
      <c r="E28" s="1287">
        <v>6</v>
      </c>
      <c r="F28" s="1284">
        <f>'แบบข้อตกลง TOR (ป.วช.-01)'!I40</f>
        <v>0</v>
      </c>
      <c r="G28" s="1526">
        <f>L79</f>
        <v>0</v>
      </c>
      <c r="H28" s="1046" t="str">
        <f t="shared" si="0"/>
        <v/>
      </c>
      <c r="I28" s="120" t="str">
        <f>IF(G28&lt;&gt;"",IF(G28&lt;E28,"Unsatisfied","Satisfied"),"")</f>
        <v>Unsatisfied</v>
      </c>
      <c r="J28" s="1533">
        <f>'แบบข้อตกลง TOR (ป.วช.-01)'!I58</f>
        <v>0</v>
      </c>
      <c r="K28" s="2068">
        <f>L83</f>
        <v>0</v>
      </c>
      <c r="L28" s="1046" t="str">
        <f t="shared" ref="L28:L29" si="1">IF(AND(J28=0,K28=0),"",IF(K28&lt;&gt;"",IF(K28&lt;J28,"Unsatisfied","Satisfied"),""))</f>
        <v/>
      </c>
    </row>
    <row r="29" spans="2:16" ht="19.5" customHeight="1" x14ac:dyDescent="0.2">
      <c r="B29" s="119">
        <v>2.2999999999999998</v>
      </c>
      <c r="C29" s="2846" t="s">
        <v>108</v>
      </c>
      <c r="D29" s="2847"/>
      <c r="E29" s="1287">
        <v>3</v>
      </c>
      <c r="F29" s="1284">
        <f>'แบบข้อตกลง TOR (ป.วช.-01)'!I41</f>
        <v>0</v>
      </c>
      <c r="G29" s="1526">
        <f>L118</f>
        <v>0</v>
      </c>
      <c r="H29" s="1046" t="str">
        <f t="shared" si="0"/>
        <v/>
      </c>
      <c r="I29" s="120" t="str">
        <f>IF(G29&lt;&gt;"",IF(G29&lt;E29,"Unsatisfied","Satisfied"),"")</f>
        <v>Unsatisfied</v>
      </c>
      <c r="J29" s="1533">
        <f>'แบบข้อตกลง TOR (ป.วช.-01)'!I67</f>
        <v>0</v>
      </c>
      <c r="K29" s="1536">
        <f>L123</f>
        <v>0</v>
      </c>
      <c r="L29" s="1046" t="str">
        <f t="shared" si="1"/>
        <v/>
      </c>
    </row>
    <row r="30" spans="2:16" ht="19.5" customHeight="1" x14ac:dyDescent="0.2">
      <c r="B30" s="121">
        <v>2.4</v>
      </c>
      <c r="C30" s="2848" t="s">
        <v>317</v>
      </c>
      <c r="D30" s="2849"/>
      <c r="E30" s="1288">
        <v>1</v>
      </c>
      <c r="F30" s="1285">
        <f>'แบบข้อตกลง TOR (ป.วช.-01)'!I42</f>
        <v>0</v>
      </c>
      <c r="G30" s="1527">
        <f>L132</f>
        <v>0</v>
      </c>
      <c r="H30" s="1530" t="str">
        <f t="shared" si="0"/>
        <v/>
      </c>
      <c r="I30" s="1401" t="str">
        <f>IF(G30&lt;&gt;"",IF(G30&lt;E30,"Unsatisfied","Satisfied"),"")</f>
        <v>Unsatisfied</v>
      </c>
      <c r="J30" s="1537"/>
      <c r="K30" s="1537"/>
      <c r="L30" s="1537"/>
    </row>
    <row r="31" spans="2:16" ht="19.5" customHeight="1" x14ac:dyDescent="0.2">
      <c r="B31" s="2876" t="s">
        <v>896</v>
      </c>
      <c r="C31" s="2877"/>
      <c r="D31" s="2877"/>
      <c r="E31" s="2878"/>
      <c r="F31" s="1290">
        <f>IF(F25&lt;&gt;"",F25+F26,F26)</f>
        <v>0</v>
      </c>
      <c r="G31" s="1524">
        <f>IF(G25&lt;&gt;"",G25+G26,G26)</f>
        <v>0</v>
      </c>
      <c r="H31" s="1529" t="str">
        <f>IF(AND(F31=0,G31=0),"",IF(G31&lt;&gt;"",IF(G31&lt;F31,"Unsatisfied","Satisfied"),""))</f>
        <v/>
      </c>
      <c r="I31" s="115"/>
      <c r="J31" s="1406"/>
      <c r="K31" s="1406"/>
      <c r="L31" s="1405"/>
    </row>
    <row r="32" spans="2:16" x14ac:dyDescent="0.2">
      <c r="B32" s="1289" t="s">
        <v>895</v>
      </c>
      <c r="C32" s="91"/>
      <c r="D32" s="91"/>
      <c r="G32" s="93"/>
      <c r="H32" s="123"/>
      <c r="I32" s="123"/>
    </row>
    <row r="33" spans="1:16" x14ac:dyDescent="0.2">
      <c r="B33" s="91"/>
      <c r="C33" s="91"/>
      <c r="D33" s="91"/>
      <c r="G33" s="93"/>
      <c r="H33" s="123"/>
      <c r="I33" s="123"/>
    </row>
    <row r="34" spans="1:16" x14ac:dyDescent="0.2">
      <c r="B34" s="91"/>
      <c r="C34" s="91"/>
      <c r="D34" s="91"/>
      <c r="G34" s="93"/>
      <c r="H34" s="123"/>
      <c r="I34" s="123"/>
    </row>
    <row r="35" spans="1:16" ht="15" x14ac:dyDescent="0.25">
      <c r="B35" s="124" t="s">
        <v>897</v>
      </c>
      <c r="C35" s="91"/>
      <c r="D35" s="91"/>
      <c r="G35" s="93"/>
      <c r="H35" s="110"/>
      <c r="I35" s="123"/>
    </row>
    <row r="36" spans="1:16" ht="12.75" customHeight="1" x14ac:dyDescent="0.2">
      <c r="B36" s="2867" t="s">
        <v>284</v>
      </c>
      <c r="C36" s="2868"/>
      <c r="D36" s="2868"/>
      <c r="E36" s="2868"/>
      <c r="F36" s="2868"/>
      <c r="G36" s="2869"/>
      <c r="H36" s="125" t="s">
        <v>318</v>
      </c>
      <c r="I36" s="126" t="s">
        <v>318</v>
      </c>
      <c r="J36" s="127"/>
      <c r="K36" s="92"/>
    </row>
    <row r="37" spans="1:16" x14ac:dyDescent="0.2">
      <c r="B37" s="2870"/>
      <c r="C37" s="2871"/>
      <c r="D37" s="2871"/>
      <c r="E37" s="2871"/>
      <c r="F37" s="2871"/>
      <c r="G37" s="2872"/>
      <c r="H37" s="128" t="s">
        <v>245</v>
      </c>
      <c r="I37" s="129" t="s">
        <v>319</v>
      </c>
      <c r="J37" s="127"/>
      <c r="K37" s="92"/>
    </row>
    <row r="38" spans="1:16" x14ac:dyDescent="0.2">
      <c r="B38" s="2873"/>
      <c r="C38" s="2874"/>
      <c r="D38" s="2874"/>
      <c r="E38" s="2874"/>
      <c r="F38" s="2874"/>
      <c r="G38" s="2875"/>
      <c r="H38" s="130" t="s">
        <v>320</v>
      </c>
      <c r="I38" s="131"/>
      <c r="J38" s="127"/>
      <c r="K38" s="92"/>
    </row>
    <row r="39" spans="1:16" s="135" customFormat="1" ht="19.5" customHeight="1" x14ac:dyDescent="0.2">
      <c r="A39" s="105"/>
      <c r="B39" s="2813" t="str">
        <f>IF(P39&lt;&gt;0,P39,"")</f>
        <v/>
      </c>
      <c r="C39" s="2814"/>
      <c r="D39" s="2814"/>
      <c r="E39" s="2814"/>
      <c r="F39" s="2814"/>
      <c r="G39" s="2815"/>
      <c r="H39" s="132" t="str">
        <f>IF(P39&lt;&gt;0,IF(OR($D$11="อาจารย์",$D$11="ผู้เชี่ยวชาญ"),"",VLOOKUP($D$11,น้ำหนัก!A16:K18,3,FALSE)),"")</f>
        <v/>
      </c>
      <c r="I39" s="133" t="str">
        <f>IF(D11="ผู้ช่วยศาสตราจารย์",'2. วิจัยและงานวิชาการอื่น'!W121+'2. วิจัยและงานวิชาการอื่น'!W148,IF(D11="รองศาสตราจารย์",'2. วิจัยและงานวิชาการอื่น'!W121+'2. วิจัยและงานวิชาการอื่น'!W148,IF(D11="ศาสตราจารย์",'2. วิจัยและงานวิชาการอื่น'!X121+'2. วิจัยและงานวิชาการอื่น'!X148,"")))</f>
        <v/>
      </c>
      <c r="J39" s="134">
        <f>IF(I39="",0,IF(I39&gt;=H39,1,0))</f>
        <v>0</v>
      </c>
      <c r="K39" s="105"/>
      <c r="P39" s="1452" t="str">
        <f>IF(OR($D$11="อาจารย์",$D$11="ผู้เชี่ยวชาญ"),"",VLOOKUP(D11,น้ำหนัก!A16:K18,2,FALSE))</f>
        <v/>
      </c>
    </row>
    <row r="40" spans="1:16" s="135" customFormat="1" ht="19.5" customHeight="1" x14ac:dyDescent="0.2">
      <c r="A40" s="105"/>
      <c r="B40" s="2813" t="str">
        <f t="shared" ref="B40:B43" si="2">IF(P40&lt;&gt;0,P40,"")</f>
        <v/>
      </c>
      <c r="C40" s="2814"/>
      <c r="D40" s="2814"/>
      <c r="E40" s="2814"/>
      <c r="F40" s="2814"/>
      <c r="G40" s="2815"/>
      <c r="H40" s="132" t="str">
        <f>IF(P40&lt;&gt;0,IF(OR($D$11="อาจารย์",$D$11="ผู้เชี่ยวชาญ"),"",VLOOKUP($D$11,น้ำหนัก!A16:K18,5,FALSE)),"")</f>
        <v/>
      </c>
      <c r="I40" s="133" t="str">
        <f>IF(D11="ผู้ช่วยศาสตราจารย์",'1. สอน'!P342,IF(D11="รองศาสตราจารย์",'1. สอน'!P342,IF(D11="ศาสตราจารย์",'1. สอน'!P342,"")))</f>
        <v/>
      </c>
      <c r="J40" s="134">
        <f>IF(I40="",0,IF(I40&gt;=H40,1,0))</f>
        <v>0</v>
      </c>
      <c r="K40" s="105"/>
      <c r="P40" s="1452" t="str">
        <f>IF(OR(D11="อาจารย์",D11="ผู้เชี่ยวชาญ"),"",VLOOKUP(D11,น้ำหนัก!A16:K18,4,FALSE))</f>
        <v/>
      </c>
    </row>
    <row r="41" spans="1:16" s="135" customFormat="1" ht="19.5" customHeight="1" x14ac:dyDescent="0.2">
      <c r="A41" s="105"/>
      <c r="B41" s="2813" t="str">
        <f t="shared" si="2"/>
        <v/>
      </c>
      <c r="C41" s="2814"/>
      <c r="D41" s="2814"/>
      <c r="E41" s="2814"/>
      <c r="F41" s="2814"/>
      <c r="G41" s="2815"/>
      <c r="H41" s="132" t="str">
        <f>IF(P41&lt;&gt;0,IF(OR($D$11="อาจารย์",$D$11="ผู้เชี่ยวชาญ"),"",VLOOKUP($D$11,น้ำหนัก!A16:K18,7,FALSE)),"")</f>
        <v/>
      </c>
      <c r="I41" s="133" t="str">
        <f>IF(D11="ผู้ช่วยศาสตราจารย์",'2. วิจัยและงานวิชาการอื่น'!W256+'2. วิจัยและงานวิชาการอื่น'!W285+'2. วิจัยและงานวิชาการอื่น'!W302,IF(D11="รองศาสตราจารย์",'2. วิจัยและงานวิชาการอื่น'!W256+'2. วิจัยและงานวิชาการอื่น'!W285+'2. วิจัยและงานวิชาการอื่น'!W302,IF(D11="ศาสตราจารย์",'2. วิจัยและงานวิชาการอื่น'!X256+'2. วิจัยและงานวิชาการอื่น'!X285+'2. วิจัยและงานวิชาการอื่น'!X302,"")))</f>
        <v/>
      </c>
      <c r="J41" s="134">
        <f t="shared" ref="J41:J43" si="3">IF(I41="",0,IF(I41&gt;=H41,1,0))</f>
        <v>0</v>
      </c>
      <c r="K41" s="105"/>
      <c r="P41" s="1452" t="str">
        <f>IF(OR(D11="อาจารย์",D11="ผู้เชี่ยวชาญ"),"",VLOOKUP(D11,น้ำหนัก!A16:K18,6,FALSE))</f>
        <v/>
      </c>
    </row>
    <row r="42" spans="1:16" s="135" customFormat="1" ht="19.5" customHeight="1" x14ac:dyDescent="0.2">
      <c r="A42" s="105"/>
      <c r="B42" s="2813" t="str">
        <f t="shared" si="2"/>
        <v/>
      </c>
      <c r="C42" s="2814"/>
      <c r="D42" s="2814"/>
      <c r="E42" s="2814"/>
      <c r="F42" s="2814"/>
      <c r="G42" s="2815"/>
      <c r="H42" s="132" t="str">
        <f>IF(P42&lt;&gt;0,IF(OR($D$11="อาจารย์",$D$11="ผู้เชี่ยวชาญ"),"",VLOOKUP($D$11,น้ำหนัก!A16:K18,9,FALSE)),"")</f>
        <v/>
      </c>
      <c r="I42" s="133" t="str">
        <f>IF(D11="ผู้ช่วยศาสตราจารย์",'2. วิจัยและงานวิชาการอื่น'!W175+'2. วิจัยและงานวิชาการอื่น'!W202,IF(D11="รองศาสตราจารย์",'3 ภาระงานบริการวิชาการ'!M22,IF(D11="ศาสตราจารย์",'3 ภาระงานบริการวิชาการ'!M22,"")))</f>
        <v/>
      </c>
      <c r="J42" s="134">
        <f t="shared" si="3"/>
        <v>0</v>
      </c>
      <c r="K42" s="105"/>
      <c r="P42" s="1452" t="str">
        <f>IF(OR(D11="อาจารย์",D11="ผู้เชี่ยวชาญ"),"",VLOOKUP(D11,น้ำหนัก!A16:K18,8,FALSE))</f>
        <v/>
      </c>
    </row>
    <row r="43" spans="1:16" s="135" customFormat="1" ht="19.5" customHeight="1" x14ac:dyDescent="0.2">
      <c r="A43" s="105"/>
      <c r="B43" s="2813" t="str">
        <f t="shared" si="2"/>
        <v/>
      </c>
      <c r="C43" s="2814"/>
      <c r="D43" s="2814"/>
      <c r="E43" s="2814"/>
      <c r="F43" s="2814"/>
      <c r="G43" s="2815"/>
      <c r="H43" s="132" t="str">
        <f>IF(P43&lt;&gt;0,IF(OR($D$11="อาจารย์",$D$11="ผู้เชี่ยวชาญ"),"",VLOOKUP($D$11,น้ำหนัก!A16:K18,11,FALSE)),"")</f>
        <v/>
      </c>
      <c r="I43" s="133" t="str">
        <f>IF(D11="ผู้ช่วยศาสตราจารย์",'3 ภาระงานบริการวิชาการ'!M22,"")</f>
        <v/>
      </c>
      <c r="J43" s="134">
        <f t="shared" si="3"/>
        <v>0</v>
      </c>
      <c r="K43" s="105"/>
      <c r="N43" s="1276"/>
      <c r="P43" s="1452" t="str">
        <f>IF(OR(D11="อาจารย์",D11="ผู้เชี่ยวชาญ"),"",VLOOKUP(D11,น้ำหนัก!A16:K18,10,FALSE))</f>
        <v/>
      </c>
    </row>
    <row r="44" spans="1:16" s="135" customFormat="1" ht="19.5" customHeight="1" x14ac:dyDescent="0.2">
      <c r="A44" s="105"/>
      <c r="B44" s="1402" t="s">
        <v>287</v>
      </c>
      <c r="C44" s="1403"/>
      <c r="D44" s="1403"/>
      <c r="E44" s="1403"/>
      <c r="F44" s="1403"/>
      <c r="G44" s="1403"/>
      <c r="H44" s="1404"/>
      <c r="I44" s="116" t="str">
        <f>IF(OR(D11="อาจารย์",D11="ผู้เชี่ยวชาญ"),"",IF(J44&gt;0,"ผ่าน","ไม่ผ่าน"))</f>
        <v/>
      </c>
      <c r="J44" s="136">
        <f>SUM(J39:J43)</f>
        <v>0</v>
      </c>
      <c r="K44" s="105"/>
    </row>
    <row r="45" spans="1:16" s="135" customFormat="1" ht="19.5" customHeight="1" x14ac:dyDescent="0.2">
      <c r="A45" s="105"/>
      <c r="B45" s="2866" t="s">
        <v>898</v>
      </c>
      <c r="C45" s="2866"/>
      <c r="D45" s="2866"/>
      <c r="E45" s="2866"/>
      <c r="F45" s="2866"/>
      <c r="G45" s="2866"/>
      <c r="H45" s="2866"/>
      <c r="I45" s="2866"/>
      <c r="J45" s="2866"/>
      <c r="K45" s="2866"/>
      <c r="L45" s="2866"/>
    </row>
    <row r="46" spans="1:16" x14ac:dyDescent="0.2">
      <c r="B46" s="91"/>
      <c r="C46" s="91"/>
      <c r="D46" s="91"/>
      <c r="G46" s="93"/>
    </row>
    <row r="47" spans="1:16" x14ac:dyDescent="0.2">
      <c r="B47" s="91"/>
      <c r="C47" s="91"/>
      <c r="D47" s="91"/>
      <c r="G47" s="93"/>
    </row>
    <row r="48" spans="1:16" ht="15" x14ac:dyDescent="0.25">
      <c r="B48" s="137" t="s">
        <v>321</v>
      </c>
      <c r="C48" s="91"/>
      <c r="D48" s="91"/>
      <c r="G48" s="93"/>
    </row>
    <row r="49" spans="2:13" ht="28.5" customHeight="1" x14ac:dyDescent="0.2">
      <c r="B49" s="2807" t="s">
        <v>322</v>
      </c>
      <c r="C49" s="2808"/>
      <c r="D49" s="2808"/>
      <c r="E49" s="2808"/>
      <c r="F49" s="2808"/>
      <c r="G49" s="2808"/>
      <c r="H49" s="2808"/>
      <c r="I49" s="2808"/>
      <c r="J49" s="2809"/>
      <c r="K49" s="138" t="s">
        <v>323</v>
      </c>
      <c r="L49" s="139" t="s">
        <v>324</v>
      </c>
      <c r="M49" s="92"/>
    </row>
    <row r="50" spans="2:13" ht="16.5" customHeight="1" x14ac:dyDescent="0.2">
      <c r="B50" s="140" t="s">
        <v>227</v>
      </c>
      <c r="C50" s="141"/>
      <c r="D50" s="141"/>
      <c r="E50" s="141"/>
      <c r="F50" s="141"/>
      <c r="G50" s="141"/>
      <c r="H50" s="141"/>
      <c r="I50" s="141"/>
      <c r="J50" s="141"/>
      <c r="K50" s="142"/>
      <c r="L50" s="143"/>
      <c r="M50" s="92"/>
    </row>
    <row r="51" spans="2:13" s="92" customFormat="1" x14ac:dyDescent="0.2">
      <c r="B51" s="144" t="s">
        <v>79</v>
      </c>
      <c r="C51" s="145" t="s">
        <v>325</v>
      </c>
      <c r="D51" s="145"/>
      <c r="E51" s="146"/>
      <c r="F51" s="146"/>
      <c r="G51" s="146"/>
      <c r="H51" s="146"/>
      <c r="I51" s="146"/>
      <c r="J51" s="147"/>
      <c r="K51" s="148">
        <f>'1. สอน'!J66+'1. สอน'!J102+'1. สอน'!J148+'1. สอน'!J184+'1. สอน'!J202+'1. สอน'!J218+'1. สอน'!J227+'1. สอน'!J236+'1. สอน'!J245+'1. สอน'!J271</f>
        <v>0</v>
      </c>
      <c r="L51" s="149">
        <f>'1. สอน'!K66+'1. สอน'!K102+'1. สอน'!K148+'1. สอน'!K184+'1. สอน'!K202+'1. สอน'!K218+'1. สอน'!K227+'1. สอน'!K236+'1. สอน'!K245+'1. สอน'!K261</f>
        <v>0</v>
      </c>
    </row>
    <row r="52" spans="2:13" s="92" customFormat="1" ht="12.75" customHeight="1" x14ac:dyDescent="0.2">
      <c r="B52" s="150" t="s">
        <v>84</v>
      </c>
      <c r="C52" s="2110" t="s">
        <v>326</v>
      </c>
      <c r="D52" s="2110"/>
      <c r="E52" s="2110"/>
      <c r="F52" s="2110"/>
      <c r="G52" s="2110"/>
      <c r="H52" s="2110"/>
      <c r="I52" s="2110"/>
      <c r="J52" s="2111"/>
      <c r="K52" s="151">
        <f>'1. สอน'!J271</f>
        <v>0</v>
      </c>
      <c r="L52" s="152">
        <f>'1. สอน'!K271</f>
        <v>0</v>
      </c>
    </row>
    <row r="53" spans="2:13" s="92" customFormat="1" x14ac:dyDescent="0.2">
      <c r="B53" s="144" t="s">
        <v>88</v>
      </c>
      <c r="C53" s="145" t="s">
        <v>327</v>
      </c>
      <c r="D53" s="145"/>
      <c r="E53" s="146"/>
      <c r="F53" s="146"/>
      <c r="G53" s="146"/>
      <c r="H53" s="146"/>
      <c r="I53" s="146"/>
      <c r="J53" s="147"/>
      <c r="K53" s="151">
        <f>'1. สอน'!J280</f>
        <v>0</v>
      </c>
      <c r="L53" s="152">
        <f>'1. สอน'!K280</f>
        <v>0</v>
      </c>
    </row>
    <row r="54" spans="2:13" s="92" customFormat="1" x14ac:dyDescent="0.2">
      <c r="B54" s="144" t="s">
        <v>91</v>
      </c>
      <c r="C54" s="145" t="s">
        <v>328</v>
      </c>
      <c r="D54" s="145"/>
      <c r="E54" s="146"/>
      <c r="F54" s="146"/>
      <c r="G54" s="146"/>
      <c r="H54" s="146"/>
      <c r="I54" s="146"/>
      <c r="J54" s="147"/>
      <c r="K54" s="151">
        <f>'1. สอน'!J290</f>
        <v>0</v>
      </c>
      <c r="L54" s="152">
        <f>'1. สอน'!K290</f>
        <v>0</v>
      </c>
    </row>
    <row r="55" spans="2:13" s="92" customFormat="1" x14ac:dyDescent="0.2">
      <c r="B55" s="144" t="s">
        <v>94</v>
      </c>
      <c r="C55" s="145" t="s">
        <v>329</v>
      </c>
      <c r="D55" s="145"/>
      <c r="E55" s="146"/>
      <c r="F55" s="146"/>
      <c r="G55" s="146"/>
      <c r="H55" s="146"/>
      <c r="I55" s="146"/>
      <c r="J55" s="147"/>
      <c r="K55" s="151">
        <f>'1. สอน'!J298</f>
        <v>0</v>
      </c>
      <c r="L55" s="152">
        <f>'1. สอน'!K298</f>
        <v>0</v>
      </c>
    </row>
    <row r="56" spans="2:13" s="92" customFormat="1" x14ac:dyDescent="0.2">
      <c r="B56" s="144" t="s">
        <v>330</v>
      </c>
      <c r="C56" s="145" t="s">
        <v>331</v>
      </c>
      <c r="D56" s="145"/>
      <c r="E56" s="146"/>
      <c r="F56" s="146"/>
      <c r="G56" s="146"/>
      <c r="H56" s="146"/>
      <c r="I56" s="146"/>
      <c r="J56" s="147"/>
      <c r="K56" s="151">
        <f>'1. สอน'!J307+'1. สอน'!J314+'1. สอน'!J321+'1. สอน'!J328</f>
        <v>0</v>
      </c>
      <c r="L56" s="152">
        <f>'1. สอน'!K307+'1. สอน'!K314+'1. สอน'!K321+'1. สอน'!K328</f>
        <v>0</v>
      </c>
    </row>
    <row r="57" spans="2:13" s="92" customFormat="1" x14ac:dyDescent="0.2">
      <c r="B57" s="144" t="s">
        <v>332</v>
      </c>
      <c r="C57" s="145" t="s">
        <v>333</v>
      </c>
      <c r="D57" s="145"/>
      <c r="E57" s="146"/>
      <c r="F57" s="146"/>
      <c r="G57" s="146"/>
      <c r="H57" s="146"/>
      <c r="I57" s="146"/>
      <c r="J57" s="147"/>
      <c r="K57" s="151">
        <f>'1. สอน'!J342+'1. สอน'!J354+'1. สอน'!J364+'1. สอน'!J378</f>
        <v>0</v>
      </c>
      <c r="L57" s="152">
        <f>'1. สอน'!K342+'1. สอน'!K354+'1. สอน'!K364+'1. สอน'!K378</f>
        <v>0</v>
      </c>
    </row>
    <row r="58" spans="2:13" s="92" customFormat="1" x14ac:dyDescent="0.2">
      <c r="B58" s="144" t="s">
        <v>334</v>
      </c>
      <c r="C58" s="145" t="s">
        <v>335</v>
      </c>
      <c r="D58" s="145"/>
      <c r="E58" s="146"/>
      <c r="F58" s="146"/>
      <c r="G58" s="146"/>
      <c r="H58" s="146"/>
      <c r="I58" s="146"/>
      <c r="J58" s="147"/>
      <c r="K58" s="151">
        <f>'1. สอน'!J388</f>
        <v>0</v>
      </c>
      <c r="L58" s="152">
        <f>'1. สอน'!K388</f>
        <v>0</v>
      </c>
    </row>
    <row r="59" spans="2:13" s="92" customFormat="1" x14ac:dyDescent="0.2">
      <c r="B59" s="144" t="s">
        <v>336</v>
      </c>
      <c r="C59" s="145" t="s">
        <v>337</v>
      </c>
      <c r="D59" s="145"/>
      <c r="E59" s="146"/>
      <c r="F59" s="146"/>
      <c r="G59" s="146"/>
      <c r="H59" s="146"/>
      <c r="I59" s="146"/>
      <c r="J59" s="147"/>
      <c r="K59" s="151">
        <f>'1. สอน'!J418</f>
        <v>0</v>
      </c>
      <c r="L59" s="152">
        <f>'1. สอน'!K418</f>
        <v>0</v>
      </c>
    </row>
    <row r="60" spans="2:13" s="92" customFormat="1" x14ac:dyDescent="0.2">
      <c r="B60" s="2820" t="s">
        <v>338</v>
      </c>
      <c r="C60" s="2821"/>
      <c r="D60" s="2821"/>
      <c r="E60" s="2821"/>
      <c r="F60" s="2821"/>
      <c r="G60" s="2821"/>
      <c r="H60" s="2821"/>
      <c r="I60" s="2821"/>
      <c r="J60" s="2822"/>
      <c r="K60" s="153">
        <f>SUM(K51:K59)</f>
        <v>0</v>
      </c>
      <c r="L60" s="154">
        <f>SUM(L51:L59)</f>
        <v>0</v>
      </c>
    </row>
    <row r="61" spans="2:13" s="92" customFormat="1" ht="16.5" customHeight="1" x14ac:dyDescent="0.2">
      <c r="B61" s="140" t="s">
        <v>228</v>
      </c>
      <c r="C61" s="141"/>
      <c r="D61" s="141"/>
      <c r="E61" s="141"/>
      <c r="F61" s="141"/>
      <c r="G61" s="141"/>
      <c r="H61" s="141"/>
      <c r="I61" s="141"/>
      <c r="J61" s="155"/>
      <c r="K61" s="156" t="s">
        <v>339</v>
      </c>
      <c r="L61" s="157" t="s">
        <v>282</v>
      </c>
    </row>
    <row r="62" spans="2:13" s="92" customFormat="1" x14ac:dyDescent="0.2">
      <c r="B62" s="2837" t="s">
        <v>79</v>
      </c>
      <c r="C62" s="2816" t="s">
        <v>340</v>
      </c>
      <c r="D62" s="2816"/>
      <c r="E62" s="2816"/>
      <c r="F62" s="2816"/>
      <c r="G62" s="2816"/>
      <c r="H62" s="2816"/>
      <c r="I62" s="2816"/>
      <c r="J62" s="2817"/>
      <c r="K62" s="158" t="str">
        <f>IF('1. สอน'!N8=TRUE,"มี","ไม่มี")</f>
        <v>ไม่มี</v>
      </c>
      <c r="L62" s="2829">
        <f>'1. สอน'!K8</f>
        <v>0</v>
      </c>
    </row>
    <row r="63" spans="2:13" s="92" customFormat="1" x14ac:dyDescent="0.2">
      <c r="B63" s="2838"/>
      <c r="C63" s="2816" t="s">
        <v>82</v>
      </c>
      <c r="D63" s="2816"/>
      <c r="E63" s="2816"/>
      <c r="F63" s="2816"/>
      <c r="G63" s="2816"/>
      <c r="H63" s="2816"/>
      <c r="I63" s="2816"/>
      <c r="J63" s="2817"/>
      <c r="K63" s="158" t="str">
        <f>IF('1. สอน'!N9=TRUE,"มี","ไม่มี")</f>
        <v>ไม่มี</v>
      </c>
      <c r="L63" s="2830"/>
    </row>
    <row r="64" spans="2:13" s="92" customFormat="1" ht="26.25" customHeight="1" x14ac:dyDescent="0.2">
      <c r="B64" s="159" t="s">
        <v>84</v>
      </c>
      <c r="C64" s="2818" t="s">
        <v>341</v>
      </c>
      <c r="D64" s="2818"/>
      <c r="E64" s="2818"/>
      <c r="F64" s="2818"/>
      <c r="G64" s="2818"/>
      <c r="H64" s="2818"/>
      <c r="I64" s="2818"/>
      <c r="J64" s="2819"/>
      <c r="K64" s="158" t="str">
        <f>IF('1. สอน'!N10=TRUE,"มี","ไม่มี")</f>
        <v>ไม่มี</v>
      </c>
      <c r="L64" s="2829">
        <f>'1. สอน'!K10</f>
        <v>0</v>
      </c>
    </row>
    <row r="65" spans="1:13" s="92" customFormat="1" ht="15.75" customHeight="1" x14ac:dyDescent="0.2">
      <c r="B65" s="160"/>
      <c r="C65" s="2823" t="s">
        <v>86</v>
      </c>
      <c r="D65" s="2823"/>
      <c r="E65" s="2823"/>
      <c r="F65" s="2823"/>
      <c r="G65" s="2823"/>
      <c r="H65" s="2823"/>
      <c r="I65" s="2823"/>
      <c r="J65" s="2824"/>
      <c r="K65" s="158" t="str">
        <f>IF('1. สอน'!N11=TRUE,"มี","ไม่มี")</f>
        <v>ไม่มี</v>
      </c>
      <c r="L65" s="2830"/>
    </row>
    <row r="66" spans="1:13" s="92" customFormat="1" ht="28.5" customHeight="1" x14ac:dyDescent="0.2">
      <c r="B66" s="1438" t="s">
        <v>88</v>
      </c>
      <c r="C66" s="2831" t="s">
        <v>1207</v>
      </c>
      <c r="D66" s="2831"/>
      <c r="E66" s="2831"/>
      <c r="F66" s="2831"/>
      <c r="G66" s="2831"/>
      <c r="H66" s="2831"/>
      <c r="I66" s="2831"/>
      <c r="J66" s="2832"/>
      <c r="K66" s="158" t="str">
        <f>IF('1. สอน'!N12=TRUE,"มี","ไม่มี")</f>
        <v>ไม่มี</v>
      </c>
      <c r="L66" s="2829">
        <f>'1. สอน'!K12</f>
        <v>0</v>
      </c>
    </row>
    <row r="67" spans="1:13" ht="27" customHeight="1" x14ac:dyDescent="0.2">
      <c r="B67" s="162"/>
      <c r="C67" s="2818" t="s">
        <v>89</v>
      </c>
      <c r="D67" s="2818"/>
      <c r="E67" s="2818"/>
      <c r="F67" s="2818"/>
      <c r="G67" s="2818"/>
      <c r="H67" s="2818"/>
      <c r="I67" s="2818"/>
      <c r="J67" s="2819"/>
      <c r="K67" s="158" t="str">
        <f>IF('1. สอน'!N13=TRUE,"มี","ไม่มี")</f>
        <v>ไม่มี</v>
      </c>
      <c r="L67" s="2830"/>
      <c r="M67" s="92"/>
    </row>
    <row r="68" spans="1:13" x14ac:dyDescent="0.2">
      <c r="B68" s="163" t="s">
        <v>91</v>
      </c>
      <c r="C68" s="164" t="s">
        <v>258</v>
      </c>
      <c r="D68" s="146"/>
      <c r="E68" s="146"/>
      <c r="F68" s="146"/>
      <c r="G68" s="146"/>
      <c r="H68" s="146"/>
      <c r="I68" s="146"/>
      <c r="J68" s="147"/>
      <c r="K68" s="158" t="str">
        <f>'1. สอน'!J14</f>
        <v>ไม่มี</v>
      </c>
      <c r="L68" s="165">
        <f>'1. สอน'!K14</f>
        <v>0</v>
      </c>
      <c r="M68" s="92"/>
    </row>
    <row r="69" spans="1:13" ht="25.5" customHeight="1" x14ac:dyDescent="0.2">
      <c r="B69" s="1439" t="s">
        <v>94</v>
      </c>
      <c r="C69" s="2833" t="s">
        <v>1208</v>
      </c>
      <c r="D69" s="2833"/>
      <c r="E69" s="2833"/>
      <c r="F69" s="2833"/>
      <c r="G69" s="2833"/>
      <c r="H69" s="2833"/>
      <c r="I69" s="2833"/>
      <c r="J69" s="2834"/>
      <c r="K69" s="166" t="str">
        <f>IF('1. สอน'!N15=TRUE,"มี","ไม่มี")</f>
        <v>ไม่มี</v>
      </c>
      <c r="L69" s="161">
        <f>'1. สอน'!K15</f>
        <v>0</v>
      </c>
      <c r="M69" s="92"/>
    </row>
    <row r="70" spans="1:13" x14ac:dyDescent="0.2">
      <c r="B70" s="2825" t="s">
        <v>342</v>
      </c>
      <c r="C70" s="2826"/>
      <c r="D70" s="2826"/>
      <c r="E70" s="2826"/>
      <c r="F70" s="2826"/>
      <c r="G70" s="2826"/>
      <c r="H70" s="2826"/>
      <c r="I70" s="2826"/>
      <c r="J70" s="2835"/>
      <c r="K70" s="167"/>
      <c r="L70" s="168">
        <f>SUM(L62:L69)</f>
        <v>0</v>
      </c>
      <c r="M70" s="92"/>
    </row>
    <row r="71" spans="1:13" s="173" customFormat="1" x14ac:dyDescent="0.2">
      <c r="A71" s="169"/>
      <c r="B71" s="170"/>
      <c r="C71" s="170"/>
      <c r="D71" s="170"/>
      <c r="E71" s="170"/>
      <c r="F71" s="170"/>
      <c r="G71" s="170"/>
      <c r="H71" s="170"/>
      <c r="I71" s="170"/>
      <c r="J71" s="170"/>
      <c r="K71" s="171"/>
      <c r="L71" s="172"/>
      <c r="M71" s="169"/>
    </row>
    <row r="72" spans="1:13" x14ac:dyDescent="0.2">
      <c r="K72" s="92"/>
      <c r="L72" s="92"/>
      <c r="M72" s="92"/>
    </row>
    <row r="73" spans="1:13" ht="15" x14ac:dyDescent="0.25">
      <c r="B73" s="137" t="s">
        <v>343</v>
      </c>
      <c r="C73" s="91"/>
      <c r="D73" s="91"/>
      <c r="G73" s="93"/>
      <c r="H73" s="93"/>
      <c r="I73" s="93"/>
      <c r="J73" s="93"/>
      <c r="K73" s="92"/>
      <c r="L73" s="92"/>
      <c r="M73" s="92"/>
    </row>
    <row r="74" spans="1:13" ht="25.5" customHeight="1" x14ac:dyDescent="0.2">
      <c r="B74" s="2807" t="s">
        <v>344</v>
      </c>
      <c r="C74" s="2808"/>
      <c r="D74" s="2808"/>
      <c r="E74" s="2808"/>
      <c r="F74" s="2808"/>
      <c r="G74" s="2808"/>
      <c r="H74" s="2808"/>
      <c r="I74" s="2808"/>
      <c r="J74" s="2809"/>
      <c r="K74" s="138" t="s">
        <v>323</v>
      </c>
      <c r="L74" s="139" t="s">
        <v>324</v>
      </c>
      <c r="M74" s="92"/>
    </row>
    <row r="75" spans="1:13" ht="16.5" customHeight="1" x14ac:dyDescent="0.2">
      <c r="B75" s="1409" t="s">
        <v>227</v>
      </c>
      <c r="C75" s="141"/>
      <c r="D75" s="141"/>
      <c r="E75" s="141"/>
      <c r="F75" s="141"/>
      <c r="G75" s="141"/>
      <c r="H75" s="141"/>
      <c r="I75" s="141"/>
      <c r="J75" s="141"/>
      <c r="K75" s="142"/>
      <c r="L75" s="143"/>
      <c r="M75" s="92"/>
    </row>
    <row r="76" spans="1:13" x14ac:dyDescent="0.2">
      <c r="B76" s="144" t="s">
        <v>79</v>
      </c>
      <c r="C76" s="145" t="s">
        <v>345</v>
      </c>
      <c r="D76" s="145"/>
      <c r="E76" s="146"/>
      <c r="F76" s="146"/>
      <c r="G76" s="146"/>
      <c r="H76" s="146"/>
      <c r="I76" s="146"/>
      <c r="J76" s="147"/>
      <c r="K76" s="148">
        <f>'2. วิจัยและงานวิชาการอื่น'!H81+'2. วิจัยและงานวิชาการอื่น'!H92</f>
        <v>0</v>
      </c>
      <c r="L76" s="149">
        <f>'2. วิจัยและงานวิชาการอื่น'!I81+'2. วิจัยและงานวิชาการอื่น'!I92</f>
        <v>0</v>
      </c>
      <c r="M76" s="92"/>
    </row>
    <row r="77" spans="1:13" x14ac:dyDescent="0.2">
      <c r="B77" s="150" t="s">
        <v>84</v>
      </c>
      <c r="C77" s="2827" t="s">
        <v>346</v>
      </c>
      <c r="D77" s="2827"/>
      <c r="E77" s="2827"/>
      <c r="F77" s="2827"/>
      <c r="G77" s="2827"/>
      <c r="H77" s="1426"/>
      <c r="I77" s="1426"/>
      <c r="J77" s="1400"/>
      <c r="K77" s="151">
        <f>'2. วิจัยและงานวิชาการอื่น'!H121+'2. วิจัยและงานวิชาการอื่น'!H148+'2. วิจัยและงานวิชาการอื่น'!H175+'2. วิจัยและงานวิชาการอื่น'!H202+'2. วิจัยและงานวิชาการอื่น'!H229+'2. วิจัยและงานวิชาการอื่น'!H256+'2. วิจัยและงานวิชาการอื่น'!F267</f>
        <v>0</v>
      </c>
      <c r="L77" s="152">
        <f>'2. วิจัยและงานวิชาการอื่น'!I121+'2. วิจัยและงานวิชาการอื่น'!I148+'2. วิจัยและงานวิชาการอื่น'!I175+'2. วิจัยและงานวิชาการอื่น'!I202+'2. วิจัยและงานวิชาการอื่น'!I229+'2. วิจัยและงานวิชาการอื่น'!I256+'2. วิจัยและงานวิชาการอื่น'!G267</f>
        <v>0</v>
      </c>
      <c r="M77" s="92"/>
    </row>
    <row r="78" spans="1:13" x14ac:dyDescent="0.2">
      <c r="B78" s="150" t="s">
        <v>88</v>
      </c>
      <c r="C78" s="2827" t="s">
        <v>1157</v>
      </c>
      <c r="D78" s="2827"/>
      <c r="E78" s="2827"/>
      <c r="F78" s="2827"/>
      <c r="G78" s="2827"/>
      <c r="H78" s="1962"/>
      <c r="I78" s="1962"/>
      <c r="J78" s="1400"/>
      <c r="K78" s="151">
        <f>'2. วิจัยและงานวิชาการอื่น'!H285+'2. วิจัยและงานวิชาการอื่น'!H302</f>
        <v>0</v>
      </c>
      <c r="L78" s="152">
        <f>'2. วิจัยและงานวิชาการอื่น'!I285+'2. วิจัยและงานวิชาการอื่น'!I302</f>
        <v>0</v>
      </c>
      <c r="M78" s="92"/>
    </row>
    <row r="79" spans="1:13" x14ac:dyDescent="0.2">
      <c r="B79" s="2820" t="s">
        <v>347</v>
      </c>
      <c r="C79" s="2821"/>
      <c r="D79" s="2821"/>
      <c r="E79" s="2821"/>
      <c r="F79" s="2821"/>
      <c r="G79" s="2821"/>
      <c r="H79" s="2821"/>
      <c r="I79" s="2821"/>
      <c r="J79" s="2822"/>
      <c r="K79" s="153">
        <f>SUM(K76:K78)</f>
        <v>0</v>
      </c>
      <c r="L79" s="154">
        <f>SUM(L76:L78)</f>
        <v>0</v>
      </c>
      <c r="M79" s="92"/>
    </row>
    <row r="80" spans="1:13" ht="16.5" customHeight="1" x14ac:dyDescent="0.2">
      <c r="B80" s="1410" t="s">
        <v>228</v>
      </c>
      <c r="C80" s="141"/>
      <c r="D80" s="141"/>
      <c r="E80" s="141"/>
      <c r="F80" s="141"/>
      <c r="G80" s="141"/>
      <c r="H80" s="1408"/>
      <c r="I80" s="1408"/>
      <c r="J80" s="1407"/>
      <c r="K80" s="156" t="s">
        <v>339</v>
      </c>
      <c r="L80" s="157" t="s">
        <v>282</v>
      </c>
      <c r="M80" s="92"/>
    </row>
    <row r="81" spans="2:13" x14ac:dyDescent="0.2">
      <c r="B81" s="174" t="s">
        <v>79</v>
      </c>
      <c r="C81" s="2816" t="s">
        <v>348</v>
      </c>
      <c r="D81" s="2816"/>
      <c r="E81" s="2816"/>
      <c r="F81" s="2816"/>
      <c r="G81" s="2816"/>
      <c r="H81" s="1423"/>
      <c r="I81" s="1423"/>
      <c r="J81" s="1424"/>
      <c r="K81" s="175" t="str">
        <f>'2. วิจัยและงานวิชาการอื่น'!H7</f>
        <v>ไม่มี</v>
      </c>
      <c r="L81" s="176">
        <f>'2. วิจัยและงานวิชาการอื่น'!I7</f>
        <v>0</v>
      </c>
      <c r="M81" s="92"/>
    </row>
    <row r="82" spans="2:13" x14ac:dyDescent="0.2">
      <c r="B82" s="163" t="s">
        <v>84</v>
      </c>
      <c r="C82" s="164" t="s">
        <v>259</v>
      </c>
      <c r="D82" s="146"/>
      <c r="E82" s="146"/>
      <c r="F82" s="146"/>
      <c r="G82" s="146"/>
      <c r="H82" s="146"/>
      <c r="I82" s="146"/>
      <c r="J82" s="147"/>
      <c r="K82" s="177" t="str">
        <f>'2. วิจัยและงานวิชาการอื่น'!H8</f>
        <v>ไม่มี</v>
      </c>
      <c r="L82" s="178">
        <f>'2. วิจัยและงานวิชาการอื่น'!I8</f>
        <v>0</v>
      </c>
      <c r="M82" s="179"/>
    </row>
    <row r="83" spans="2:13" x14ac:dyDescent="0.2">
      <c r="B83" s="2825" t="s">
        <v>349</v>
      </c>
      <c r="C83" s="2826"/>
      <c r="D83" s="2826"/>
      <c r="E83" s="2826"/>
      <c r="F83" s="2826"/>
      <c r="G83" s="2826"/>
      <c r="H83" s="2826"/>
      <c r="I83" s="2826"/>
      <c r="J83" s="2835"/>
      <c r="K83" s="167"/>
      <c r="L83" s="180">
        <f>L81+L82</f>
        <v>0</v>
      </c>
      <c r="M83" s="92"/>
    </row>
    <row r="84" spans="2:13" x14ac:dyDescent="0.2">
      <c r="K84" s="92"/>
      <c r="L84" s="92"/>
      <c r="M84" s="92"/>
    </row>
    <row r="85" spans="2:13" s="92" customFormat="1" ht="15" x14ac:dyDescent="0.25">
      <c r="B85" s="137" t="s">
        <v>350</v>
      </c>
      <c r="C85" s="91"/>
      <c r="D85" s="91"/>
      <c r="G85" s="93"/>
      <c r="H85" s="93"/>
      <c r="I85" s="93"/>
      <c r="J85" s="93"/>
    </row>
    <row r="86" spans="2:13" s="92" customFormat="1" ht="25.5" customHeight="1" x14ac:dyDescent="0.2">
      <c r="B86" s="2807" t="s">
        <v>351</v>
      </c>
      <c r="C86" s="2808"/>
      <c r="D86" s="2808"/>
      <c r="E86" s="2808"/>
      <c r="F86" s="2808"/>
      <c r="G86" s="2808"/>
      <c r="H86" s="2808"/>
      <c r="I86" s="2808"/>
      <c r="J86" s="2809"/>
      <c r="K86" s="138" t="s">
        <v>323</v>
      </c>
      <c r="L86" s="139" t="s">
        <v>324</v>
      </c>
    </row>
    <row r="87" spans="2:13" s="92" customFormat="1" ht="16.5" customHeight="1" x14ac:dyDescent="0.2">
      <c r="B87" s="1409" t="s">
        <v>227</v>
      </c>
      <c r="C87" s="141"/>
      <c r="D87" s="141"/>
      <c r="E87" s="141"/>
      <c r="F87" s="141"/>
      <c r="G87" s="141"/>
      <c r="H87" s="141"/>
      <c r="I87" s="141"/>
      <c r="J87" s="141"/>
      <c r="K87" s="142"/>
      <c r="L87" s="143"/>
    </row>
    <row r="88" spans="2:13" s="92" customFormat="1" x14ac:dyDescent="0.2">
      <c r="B88" s="144" t="s">
        <v>79</v>
      </c>
      <c r="C88" s="1277" t="s">
        <v>890</v>
      </c>
      <c r="D88" s="141"/>
      <c r="E88" s="141"/>
      <c r="F88" s="141"/>
      <c r="G88" s="141"/>
      <c r="H88" s="141"/>
      <c r="I88" s="141"/>
      <c r="J88" s="141"/>
      <c r="K88" s="1278">
        <f>'3 ภาระงานบริการวิชาการ'!I22</f>
        <v>0</v>
      </c>
      <c r="L88" s="1278">
        <f>'3 ภาระงานบริการวิชาการ'!J22</f>
        <v>0</v>
      </c>
    </row>
    <row r="89" spans="2:13" s="92" customFormat="1" x14ac:dyDescent="0.2">
      <c r="B89" s="144" t="s">
        <v>84</v>
      </c>
      <c r="C89" s="145" t="s">
        <v>352</v>
      </c>
      <c r="D89" s="145"/>
      <c r="E89" s="146"/>
      <c r="F89" s="146"/>
      <c r="G89" s="146"/>
      <c r="H89" s="146"/>
      <c r="I89" s="146"/>
      <c r="J89" s="147"/>
      <c r="K89" s="148">
        <f>'3 ภาระงานบริการวิชาการ'!I43</f>
        <v>0</v>
      </c>
      <c r="L89" s="148">
        <f>'3 ภาระงานบริการวิชาการ'!J43</f>
        <v>0</v>
      </c>
    </row>
    <row r="90" spans="2:13" s="92" customFormat="1" x14ac:dyDescent="0.2">
      <c r="B90" s="144" t="s">
        <v>88</v>
      </c>
      <c r="C90" s="2827" t="s">
        <v>354</v>
      </c>
      <c r="D90" s="2827"/>
      <c r="E90" s="2827"/>
      <c r="F90" s="2827"/>
      <c r="G90" s="2827"/>
      <c r="H90" s="1426"/>
      <c r="I90" s="1426"/>
      <c r="J90" s="1400"/>
      <c r="K90" s="151">
        <f>'3 ภาระงานบริการวิชาการ'!I54</f>
        <v>0</v>
      </c>
      <c r="L90" s="151">
        <f>'3 ภาระงานบริการวิชาการ'!J54</f>
        <v>0</v>
      </c>
    </row>
    <row r="91" spans="2:13" s="92" customFormat="1" x14ac:dyDescent="0.2">
      <c r="B91" s="144" t="s">
        <v>91</v>
      </c>
      <c r="C91" s="181" t="s">
        <v>356</v>
      </c>
      <c r="D91" s="181"/>
      <c r="E91" s="181"/>
      <c r="F91" s="181"/>
      <c r="G91" s="181"/>
      <c r="H91" s="181"/>
      <c r="I91" s="181"/>
      <c r="J91" s="182"/>
      <c r="K91" s="151">
        <f>'3 ภาระงานบริการวิชาการ'!I70</f>
        <v>0</v>
      </c>
      <c r="L91" s="151">
        <f>'3 ภาระงานบริการวิชาการ'!J70</f>
        <v>0</v>
      </c>
    </row>
    <row r="92" spans="2:13" s="92" customFormat="1" x14ac:dyDescent="0.2">
      <c r="B92" s="144" t="s">
        <v>94</v>
      </c>
      <c r="C92" s="181" t="s">
        <v>358</v>
      </c>
      <c r="D92" s="1426"/>
      <c r="E92" s="1426"/>
      <c r="F92" s="1426"/>
      <c r="G92" s="1426"/>
      <c r="H92" s="1426"/>
      <c r="I92" s="1426"/>
      <c r="J92" s="1400"/>
      <c r="K92" s="151">
        <f>'3 ภาระงานบริการวิชาการ'!I81</f>
        <v>0</v>
      </c>
      <c r="L92" s="151">
        <f>'3 ภาระงานบริการวิชาการ'!J81</f>
        <v>0</v>
      </c>
    </row>
    <row r="93" spans="2:13" s="92" customFormat="1" x14ac:dyDescent="0.2">
      <c r="B93" s="144" t="s">
        <v>330</v>
      </c>
      <c r="C93" s="181" t="s">
        <v>359</v>
      </c>
      <c r="D93" s="1426"/>
      <c r="E93" s="1426"/>
      <c r="F93" s="1426"/>
      <c r="G93" s="1426"/>
      <c r="H93" s="1426"/>
      <c r="I93" s="1426"/>
      <c r="J93" s="1400"/>
      <c r="K93" s="151">
        <f>'3 ภาระงานบริการวิชาการ'!I92</f>
        <v>0</v>
      </c>
      <c r="L93" s="151">
        <f>'3 ภาระงานบริการวิชาการ'!J92</f>
        <v>0</v>
      </c>
    </row>
    <row r="94" spans="2:13" s="92" customFormat="1" x14ac:dyDescent="0.2">
      <c r="B94" s="144" t="s">
        <v>332</v>
      </c>
      <c r="C94" s="1426" t="s">
        <v>360</v>
      </c>
      <c r="D94" s="1426"/>
      <c r="E94" s="1426"/>
      <c r="F94" s="1426"/>
      <c r="G94" s="1426"/>
      <c r="H94" s="1426"/>
      <c r="I94" s="1426"/>
      <c r="J94" s="1400"/>
      <c r="K94" s="151">
        <f>'3 ภาระงานบริการวิชาการ'!I103</f>
        <v>0</v>
      </c>
      <c r="L94" s="151">
        <f>'3 ภาระงานบริการวิชาการ'!J103</f>
        <v>0</v>
      </c>
    </row>
    <row r="95" spans="2:13" s="92" customFormat="1" x14ac:dyDescent="0.2">
      <c r="B95" s="144" t="s">
        <v>334</v>
      </c>
      <c r="C95" s="181" t="s">
        <v>361</v>
      </c>
      <c r="D95" s="1426"/>
      <c r="E95" s="1426"/>
      <c r="F95" s="1426"/>
      <c r="G95" s="1426"/>
      <c r="H95" s="1426"/>
      <c r="I95" s="1426"/>
      <c r="J95" s="1400"/>
      <c r="K95" s="151">
        <f>'3 ภาระงานบริการวิชาการ'!I114</f>
        <v>0</v>
      </c>
      <c r="L95" s="151">
        <f>'3 ภาระงานบริการวิชาการ'!J114</f>
        <v>0</v>
      </c>
    </row>
    <row r="96" spans="2:13" s="92" customFormat="1" x14ac:dyDescent="0.2">
      <c r="B96" s="144" t="s">
        <v>336</v>
      </c>
      <c r="C96" s="181" t="s">
        <v>362</v>
      </c>
      <c r="D96" s="1426"/>
      <c r="E96" s="1426"/>
      <c r="F96" s="1426"/>
      <c r="G96" s="1426"/>
      <c r="H96" s="1426"/>
      <c r="I96" s="1426"/>
      <c r="J96" s="1400"/>
      <c r="K96" s="151">
        <f>'3 ภาระงานบริการวิชาการ'!I158</f>
        <v>0</v>
      </c>
      <c r="L96" s="151">
        <f>'3 ภาระงานบริการวิชาการ'!J158</f>
        <v>0</v>
      </c>
    </row>
    <row r="97" spans="2:12" s="92" customFormat="1" x14ac:dyDescent="0.2">
      <c r="B97" s="144" t="s">
        <v>364</v>
      </c>
      <c r="C97" s="181" t="s">
        <v>363</v>
      </c>
      <c r="D97" s="1426"/>
      <c r="E97" s="1426"/>
      <c r="F97" s="1426"/>
      <c r="G97" s="1426"/>
      <c r="H97" s="1426"/>
      <c r="I97" s="1426"/>
      <c r="J97" s="1400"/>
      <c r="K97" s="151">
        <f>'3 ภาระงานบริการวิชาการ'!I169</f>
        <v>0</v>
      </c>
      <c r="L97" s="151">
        <f>'3 ภาระงานบริการวิชาการ'!J169</f>
        <v>0</v>
      </c>
    </row>
    <row r="98" spans="2:12" s="92" customFormat="1" x14ac:dyDescent="0.2">
      <c r="B98" s="144" t="s">
        <v>366</v>
      </c>
      <c r="C98" s="181" t="s">
        <v>365</v>
      </c>
      <c r="D98" s="1426"/>
      <c r="E98" s="1426"/>
      <c r="F98" s="1426"/>
      <c r="G98" s="1426"/>
      <c r="H98" s="1426"/>
      <c r="I98" s="1426"/>
      <c r="J98" s="1400"/>
      <c r="K98" s="151">
        <f>'3 ภาระงานบริการวิชาการ'!I180</f>
        <v>0</v>
      </c>
      <c r="L98" s="151">
        <f>'3 ภาระงานบริการวิชาการ'!J180</f>
        <v>0</v>
      </c>
    </row>
    <row r="99" spans="2:12" s="92" customFormat="1" x14ac:dyDescent="0.2">
      <c r="B99" s="144" t="s">
        <v>368</v>
      </c>
      <c r="C99" s="181" t="s">
        <v>367</v>
      </c>
      <c r="D99" s="181"/>
      <c r="E99" s="181"/>
      <c r="F99" s="181"/>
      <c r="G99" s="181"/>
      <c r="H99" s="181"/>
      <c r="I99" s="181"/>
      <c r="J99" s="182"/>
      <c r="K99" s="151">
        <f>'3 ภาระงานบริการวิชาการ'!I197</f>
        <v>0</v>
      </c>
      <c r="L99" s="151">
        <f>'3 ภาระงานบริการวิชาการ'!J197</f>
        <v>0</v>
      </c>
    </row>
    <row r="100" spans="2:12" s="92" customFormat="1" x14ac:dyDescent="0.2">
      <c r="B100" s="144" t="s">
        <v>370</v>
      </c>
      <c r="C100" s="181" t="s">
        <v>369</v>
      </c>
      <c r="D100" s="181"/>
      <c r="E100" s="181"/>
      <c r="F100" s="181"/>
      <c r="G100" s="181"/>
      <c r="H100" s="181"/>
      <c r="I100" s="181"/>
      <c r="J100" s="182"/>
      <c r="K100" s="151">
        <f>'3 ภาระงานบริการวิชาการ'!I208</f>
        <v>0</v>
      </c>
      <c r="L100" s="151">
        <f>'3 ภาระงานบริการวิชาการ'!J208</f>
        <v>0</v>
      </c>
    </row>
    <row r="101" spans="2:12" s="92" customFormat="1" x14ac:dyDescent="0.2">
      <c r="B101" s="144" t="s">
        <v>372</v>
      </c>
      <c r="C101" s="181" t="s">
        <v>371</v>
      </c>
      <c r="D101" s="181"/>
      <c r="E101" s="181"/>
      <c r="F101" s="181"/>
      <c r="G101" s="181"/>
      <c r="H101" s="181"/>
      <c r="I101" s="181"/>
      <c r="J101" s="182"/>
      <c r="K101" s="151">
        <f>'3 ภาระงานบริการวิชาการ'!I219</f>
        <v>0</v>
      </c>
      <c r="L101" s="151">
        <f>'3 ภาระงานบริการวิชาการ'!J219</f>
        <v>0</v>
      </c>
    </row>
    <row r="102" spans="2:12" s="92" customFormat="1" x14ac:dyDescent="0.2">
      <c r="B102" s="144" t="s">
        <v>374</v>
      </c>
      <c r="C102" s="181" t="s">
        <v>373</v>
      </c>
      <c r="D102" s="181"/>
      <c r="E102" s="181"/>
      <c r="F102" s="181"/>
      <c r="G102" s="181"/>
      <c r="H102" s="181"/>
      <c r="I102" s="181"/>
      <c r="J102" s="182"/>
      <c r="K102" s="151">
        <f>'3 ภาระงานบริการวิชาการ'!I230</f>
        <v>0</v>
      </c>
      <c r="L102" s="151">
        <f>'3 ภาระงานบริการวิชาการ'!J230</f>
        <v>0</v>
      </c>
    </row>
    <row r="103" spans="2:12" s="92" customFormat="1" x14ac:dyDescent="0.2">
      <c r="B103" s="144" t="s">
        <v>376</v>
      </c>
      <c r="C103" s="181" t="s">
        <v>375</v>
      </c>
      <c r="D103" s="181"/>
      <c r="E103" s="181"/>
      <c r="F103" s="181"/>
      <c r="G103" s="181"/>
      <c r="H103" s="181"/>
      <c r="I103" s="181"/>
      <c r="J103" s="182"/>
      <c r="K103" s="151">
        <f>'3 ภาระงานบริการวิชาการ'!I241</f>
        <v>0</v>
      </c>
      <c r="L103" s="151">
        <f>'3 ภาระงานบริการวิชาการ'!J241</f>
        <v>0</v>
      </c>
    </row>
    <row r="104" spans="2:12" s="92" customFormat="1" x14ac:dyDescent="0.2">
      <c r="B104" s="144" t="s">
        <v>378</v>
      </c>
      <c r="C104" s="181" t="s">
        <v>377</v>
      </c>
      <c r="D104" s="181"/>
      <c r="E104" s="181"/>
      <c r="F104" s="181"/>
      <c r="G104" s="181"/>
      <c r="H104" s="181"/>
      <c r="I104" s="181"/>
      <c r="J104" s="182"/>
      <c r="K104" s="151">
        <f>'3 ภาระงานบริการวิชาการ'!I258</f>
        <v>0</v>
      </c>
      <c r="L104" s="151">
        <f>'3 ภาระงานบริการวิชาการ'!J258</f>
        <v>0</v>
      </c>
    </row>
    <row r="105" spans="2:12" s="92" customFormat="1" x14ac:dyDescent="0.2">
      <c r="B105" s="144" t="s">
        <v>380</v>
      </c>
      <c r="C105" s="181" t="s">
        <v>379</v>
      </c>
      <c r="D105" s="181"/>
      <c r="E105" s="181"/>
      <c r="F105" s="181"/>
      <c r="G105" s="181"/>
      <c r="H105" s="181"/>
      <c r="I105" s="181"/>
      <c r="J105" s="182"/>
      <c r="K105" s="151">
        <f>'3 ภาระงานบริการวิชาการ'!I269</f>
        <v>0</v>
      </c>
      <c r="L105" s="151">
        <f>'3 ภาระงานบริการวิชาการ'!J269</f>
        <v>0</v>
      </c>
    </row>
    <row r="106" spans="2:12" s="92" customFormat="1" x14ac:dyDescent="0.2">
      <c r="B106" s="144" t="s">
        <v>382</v>
      </c>
      <c r="C106" s="181" t="s">
        <v>381</v>
      </c>
      <c r="D106" s="181"/>
      <c r="E106" s="181"/>
      <c r="F106" s="181"/>
      <c r="G106" s="181"/>
      <c r="H106" s="181"/>
      <c r="I106" s="181"/>
      <c r="J106" s="182"/>
      <c r="K106" s="151">
        <f>'3 ภาระงานบริการวิชาการ'!I303</f>
        <v>0</v>
      </c>
      <c r="L106" s="151">
        <f>'3 ภาระงานบริการวิชาการ'!J303</f>
        <v>0</v>
      </c>
    </row>
    <row r="107" spans="2:12" s="92" customFormat="1" x14ac:dyDescent="0.2">
      <c r="B107" s="144" t="s">
        <v>384</v>
      </c>
      <c r="C107" s="181" t="s">
        <v>383</v>
      </c>
      <c r="D107" s="181"/>
      <c r="E107" s="181"/>
      <c r="F107" s="181"/>
      <c r="G107" s="181"/>
      <c r="H107" s="181"/>
      <c r="I107" s="181"/>
      <c r="J107" s="182"/>
      <c r="K107" s="151">
        <f>'3 ภาระงานบริการวิชาการ'!I337</f>
        <v>0</v>
      </c>
      <c r="L107" s="151">
        <f>'3 ภาระงานบริการวิชาการ'!J337</f>
        <v>0</v>
      </c>
    </row>
    <row r="108" spans="2:12" s="92" customFormat="1" x14ac:dyDescent="0.2">
      <c r="B108" s="144" t="s">
        <v>386</v>
      </c>
      <c r="C108" s="181" t="s">
        <v>385</v>
      </c>
      <c r="D108" s="181"/>
      <c r="E108" s="181"/>
      <c r="F108" s="181"/>
      <c r="G108" s="181"/>
      <c r="H108" s="181"/>
      <c r="I108" s="181"/>
      <c r="J108" s="182"/>
      <c r="K108" s="151">
        <f>'3 ภาระงานบริการวิชาการ'!I344</f>
        <v>0</v>
      </c>
      <c r="L108" s="151">
        <f>'3 ภาระงานบริการวิชาการ'!J344</f>
        <v>0</v>
      </c>
    </row>
    <row r="109" spans="2:12" s="92" customFormat="1" x14ac:dyDescent="0.2">
      <c r="B109" s="144" t="s">
        <v>388</v>
      </c>
      <c r="C109" s="181" t="s">
        <v>387</v>
      </c>
      <c r="D109" s="181"/>
      <c r="E109" s="181"/>
      <c r="F109" s="181"/>
      <c r="G109" s="181"/>
      <c r="H109" s="181"/>
      <c r="I109" s="181"/>
      <c r="J109" s="182"/>
      <c r="K109" s="151">
        <f>'3 ภาระงานบริการวิชาการ'!I355</f>
        <v>0</v>
      </c>
      <c r="L109" s="151">
        <f>'3 ภาระงานบริการวิชาการ'!J355</f>
        <v>0</v>
      </c>
    </row>
    <row r="110" spans="2:12" s="92" customFormat="1" x14ac:dyDescent="0.2">
      <c r="B110" s="144" t="s">
        <v>390</v>
      </c>
      <c r="C110" s="181" t="s">
        <v>389</v>
      </c>
      <c r="D110" s="181"/>
      <c r="E110" s="181"/>
      <c r="F110" s="181"/>
      <c r="G110" s="181"/>
      <c r="H110" s="181"/>
      <c r="I110" s="181"/>
      <c r="J110" s="182"/>
      <c r="K110" s="151">
        <f>'3 ภาระงานบริการวิชาการ'!I366</f>
        <v>0</v>
      </c>
      <c r="L110" s="151">
        <f>'3 ภาระงานบริการวิชาการ'!J366</f>
        <v>0</v>
      </c>
    </row>
    <row r="111" spans="2:12" s="92" customFormat="1" x14ac:dyDescent="0.2">
      <c r="B111" s="144" t="s">
        <v>392</v>
      </c>
      <c r="C111" s="181" t="s">
        <v>391</v>
      </c>
      <c r="D111" s="181"/>
      <c r="E111" s="181"/>
      <c r="F111" s="181"/>
      <c r="G111" s="181"/>
      <c r="H111" s="181"/>
      <c r="I111" s="181"/>
      <c r="J111" s="182"/>
      <c r="K111" s="151">
        <f>'3 ภาระงานบริการวิชาการ'!I377</f>
        <v>0</v>
      </c>
      <c r="L111" s="151">
        <f>'3 ภาระงานบริการวิชาการ'!J377</f>
        <v>0</v>
      </c>
    </row>
    <row r="112" spans="2:12" s="92" customFormat="1" x14ac:dyDescent="0.2">
      <c r="B112" s="144" t="s">
        <v>394</v>
      </c>
      <c r="C112" s="181" t="s">
        <v>393</v>
      </c>
      <c r="D112" s="181"/>
      <c r="E112" s="181"/>
      <c r="F112" s="181"/>
      <c r="G112" s="181"/>
      <c r="H112" s="181"/>
      <c r="I112" s="181"/>
      <c r="J112" s="182"/>
      <c r="K112" s="151">
        <f>'3 ภาระงานบริการวิชาการ'!I408</f>
        <v>0</v>
      </c>
      <c r="L112" s="151">
        <f>'3 ภาระงานบริการวิชาการ'!J408</f>
        <v>0</v>
      </c>
    </row>
    <row r="113" spans="2:13" s="92" customFormat="1" x14ac:dyDescent="0.2">
      <c r="B113" s="144" t="s">
        <v>396</v>
      </c>
      <c r="C113" s="181" t="s">
        <v>395</v>
      </c>
      <c r="D113" s="181"/>
      <c r="E113" s="181"/>
      <c r="F113" s="181"/>
      <c r="G113" s="181"/>
      <c r="H113" s="181"/>
      <c r="I113" s="181"/>
      <c r="J113" s="182"/>
      <c r="K113" s="151">
        <f>'3 ภาระงานบริการวิชาการ'!I418</f>
        <v>0</v>
      </c>
      <c r="L113" s="151">
        <f>'3 ภาระงานบริการวิชาการ'!J418</f>
        <v>0</v>
      </c>
    </row>
    <row r="114" spans="2:13" s="92" customFormat="1" x14ac:dyDescent="0.2">
      <c r="B114" s="144" t="s">
        <v>398</v>
      </c>
      <c r="C114" s="181" t="s">
        <v>397</v>
      </c>
      <c r="D114" s="181"/>
      <c r="E114" s="181"/>
      <c r="F114" s="181"/>
      <c r="G114" s="181"/>
      <c r="H114" s="181"/>
      <c r="I114" s="181"/>
      <c r="J114" s="182"/>
      <c r="K114" s="151">
        <f>'3 ภาระงานบริการวิชาการ'!I429</f>
        <v>0</v>
      </c>
      <c r="L114" s="151">
        <f>'3 ภาระงานบริการวิชาการ'!J429</f>
        <v>0</v>
      </c>
    </row>
    <row r="115" spans="2:13" s="92" customFormat="1" x14ac:dyDescent="0.2">
      <c r="B115" s="144" t="s">
        <v>400</v>
      </c>
      <c r="C115" s="181" t="s">
        <v>399</v>
      </c>
      <c r="D115" s="181"/>
      <c r="E115" s="181"/>
      <c r="F115" s="181"/>
      <c r="G115" s="181"/>
      <c r="H115" s="181"/>
      <c r="I115" s="181"/>
      <c r="J115" s="182"/>
      <c r="K115" s="151">
        <f>'3 ภาระงานบริการวิชาการ'!I440</f>
        <v>0</v>
      </c>
      <c r="L115" s="151">
        <f>'3 ภาระงานบริการวิชาการ'!J440</f>
        <v>0</v>
      </c>
    </row>
    <row r="116" spans="2:13" s="92" customFormat="1" x14ac:dyDescent="0.2">
      <c r="B116" s="144" t="s">
        <v>891</v>
      </c>
      <c r="C116" s="181" t="s">
        <v>1007</v>
      </c>
      <c r="D116" s="181"/>
      <c r="E116" s="181"/>
      <c r="F116" s="181"/>
      <c r="G116" s="181"/>
      <c r="H116" s="181"/>
      <c r="I116" s="181"/>
      <c r="J116" s="182"/>
      <c r="K116" s="151">
        <f>'3 ภาระงานบริการวิชาการ'!I451</f>
        <v>0</v>
      </c>
      <c r="L116" s="151">
        <f>'3 ภาระงานบริการวิชาการ'!J451</f>
        <v>0</v>
      </c>
    </row>
    <row r="117" spans="2:13" s="92" customFormat="1" x14ac:dyDescent="0.2">
      <c r="B117" s="144" t="s">
        <v>1006</v>
      </c>
      <c r="C117" s="145" t="s">
        <v>401</v>
      </c>
      <c r="D117" s="145"/>
      <c r="E117" s="146"/>
      <c r="F117" s="146"/>
      <c r="G117" s="146"/>
      <c r="H117" s="146"/>
      <c r="I117" s="146"/>
      <c r="J117" s="147"/>
      <c r="K117" s="148">
        <f>'3 ภาระงานบริการวิชาการ'!I462</f>
        <v>0</v>
      </c>
      <c r="L117" s="148">
        <f>'3 ภาระงานบริการวิชาการ'!J462</f>
        <v>0</v>
      </c>
    </row>
    <row r="118" spans="2:13" s="92" customFormat="1" x14ac:dyDescent="0.2">
      <c r="B118" s="2820" t="s">
        <v>402</v>
      </c>
      <c r="C118" s="2821"/>
      <c r="D118" s="2821"/>
      <c r="E118" s="2821"/>
      <c r="F118" s="2821"/>
      <c r="G118" s="2821"/>
      <c r="H118" s="2821"/>
      <c r="I118" s="2821"/>
      <c r="J118" s="2822"/>
      <c r="K118" s="153">
        <f>SUM(K88:K117)</f>
        <v>0</v>
      </c>
      <c r="L118" s="154">
        <f>SUM(L88:L117)</f>
        <v>0</v>
      </c>
    </row>
    <row r="119" spans="2:13" s="92" customFormat="1" ht="16.5" customHeight="1" x14ac:dyDescent="0.2">
      <c r="B119" s="1410" t="s">
        <v>228</v>
      </c>
      <c r="C119" s="141"/>
      <c r="D119" s="141"/>
      <c r="E119" s="141"/>
      <c r="F119" s="141"/>
      <c r="G119" s="141"/>
      <c r="H119" s="141"/>
      <c r="I119" s="141"/>
      <c r="J119" s="155"/>
      <c r="K119" s="156" t="s">
        <v>339</v>
      </c>
      <c r="L119" s="157" t="s">
        <v>282</v>
      </c>
    </row>
    <row r="120" spans="2:13" s="92" customFormat="1" ht="27" customHeight="1" x14ac:dyDescent="0.2">
      <c r="B120" s="174" t="s">
        <v>79</v>
      </c>
      <c r="C120" s="2816" t="s">
        <v>109</v>
      </c>
      <c r="D120" s="2816"/>
      <c r="E120" s="2816"/>
      <c r="F120" s="2816"/>
      <c r="G120" s="2816"/>
      <c r="H120" s="2816"/>
      <c r="I120" s="2816"/>
      <c r="J120" s="2817"/>
      <c r="K120" s="158" t="str">
        <f>'3 ภาระงานบริการวิชาการ'!I8</f>
        <v>ไม่มี</v>
      </c>
      <c r="L120" s="161">
        <f>'3 ภาระงานบริการวิชาการ'!J8</f>
        <v>0</v>
      </c>
    </row>
    <row r="121" spans="2:13" s="92" customFormat="1" x14ac:dyDescent="0.2">
      <c r="B121" s="159" t="s">
        <v>84</v>
      </c>
      <c r="C121" s="2818" t="s">
        <v>403</v>
      </c>
      <c r="D121" s="2818"/>
      <c r="E121" s="2818"/>
      <c r="F121" s="2818"/>
      <c r="G121" s="2818"/>
      <c r="H121" s="2818"/>
      <c r="I121" s="2818"/>
      <c r="J121" s="2819"/>
      <c r="K121" s="158" t="str">
        <f>IF('3 ภาระงานบริการวิชาการ'!M9=TRUE,"มี","ไม่มี")</f>
        <v>ไม่มี</v>
      </c>
      <c r="L121" s="2829">
        <f>'3 ภาระงานบริการวิชาการ'!J9</f>
        <v>0</v>
      </c>
    </row>
    <row r="122" spans="2:13" s="92" customFormat="1" x14ac:dyDescent="0.2">
      <c r="B122" s="160"/>
      <c r="C122" s="2818" t="s">
        <v>267</v>
      </c>
      <c r="D122" s="2818"/>
      <c r="E122" s="2818"/>
      <c r="F122" s="2818"/>
      <c r="G122" s="2818"/>
      <c r="H122" s="2818"/>
      <c r="I122" s="2818"/>
      <c r="J122" s="2819"/>
      <c r="K122" s="183" t="str">
        <f>IF('3 ภาระงานบริการวิชาการ'!M10=TRUE,"มี","ไม่มี")</f>
        <v>ไม่มี</v>
      </c>
      <c r="L122" s="2830"/>
    </row>
    <row r="123" spans="2:13" s="92" customFormat="1" x14ac:dyDescent="0.2">
      <c r="B123" s="2810" t="s">
        <v>404</v>
      </c>
      <c r="C123" s="2811"/>
      <c r="D123" s="2811"/>
      <c r="E123" s="2811"/>
      <c r="F123" s="2811"/>
      <c r="G123" s="2811"/>
      <c r="H123" s="2811"/>
      <c r="I123" s="2811"/>
      <c r="J123" s="2812"/>
      <c r="K123" s="167"/>
      <c r="L123" s="168">
        <f>L120+L121</f>
        <v>0</v>
      </c>
    </row>
    <row r="124" spans="2:13" x14ac:dyDescent="0.2">
      <c r="K124" s="92"/>
      <c r="L124" s="92"/>
      <c r="M124" s="92"/>
    </row>
    <row r="125" spans="2:13" s="92" customFormat="1" ht="15" x14ac:dyDescent="0.25">
      <c r="B125" s="137" t="s">
        <v>405</v>
      </c>
    </row>
    <row r="126" spans="2:13" s="92" customFormat="1" ht="25.5" customHeight="1" x14ac:dyDescent="0.2">
      <c r="B126" s="2807" t="s">
        <v>406</v>
      </c>
      <c r="C126" s="2808"/>
      <c r="D126" s="2808"/>
      <c r="E126" s="2808"/>
      <c r="F126" s="2808"/>
      <c r="G126" s="2808"/>
      <c r="H126" s="2808"/>
      <c r="I126" s="2808"/>
      <c r="J126" s="2809"/>
      <c r="K126" s="138" t="s">
        <v>323</v>
      </c>
      <c r="L126" s="139" t="s">
        <v>324</v>
      </c>
    </row>
    <row r="127" spans="2:13" s="92" customFormat="1" x14ac:dyDescent="0.2">
      <c r="B127" s="1409" t="s">
        <v>227</v>
      </c>
      <c r="C127" s="141"/>
      <c r="D127" s="141"/>
      <c r="E127" s="141"/>
      <c r="F127" s="141"/>
      <c r="G127" s="141"/>
      <c r="H127" s="141"/>
      <c r="I127" s="141"/>
      <c r="J127" s="141"/>
      <c r="K127" s="142"/>
      <c r="L127" s="143"/>
    </row>
    <row r="128" spans="2:13" s="92" customFormat="1" x14ac:dyDescent="0.2">
      <c r="B128" s="144" t="s">
        <v>79</v>
      </c>
      <c r="C128" s="145" t="s">
        <v>407</v>
      </c>
      <c r="D128" s="145"/>
      <c r="E128" s="146"/>
      <c r="F128" s="146"/>
      <c r="G128" s="146"/>
      <c r="H128" s="146"/>
      <c r="I128" s="146"/>
      <c r="J128" s="147"/>
      <c r="K128" s="148">
        <f>'4 ทำนุบำรุงศิลปะ'!G21</f>
        <v>0</v>
      </c>
      <c r="L128" s="149">
        <f>'4 ทำนุบำรุงศิลปะ'!H21</f>
        <v>0</v>
      </c>
    </row>
    <row r="129" spans="2:13" s="92" customFormat="1" x14ac:dyDescent="0.2">
      <c r="B129" s="150" t="s">
        <v>353</v>
      </c>
      <c r="C129" s="2827" t="s">
        <v>408</v>
      </c>
      <c r="D129" s="2827"/>
      <c r="E129" s="2827"/>
      <c r="F129" s="2827"/>
      <c r="G129" s="2827"/>
      <c r="H129" s="1426"/>
      <c r="I129" s="1426"/>
      <c r="J129" s="1400"/>
      <c r="K129" s="151">
        <f>'4 ทำนุบำรุงศิลปะ'!G33</f>
        <v>0</v>
      </c>
      <c r="L129" s="152">
        <f>'4 ทำนุบำรุงศิลปะ'!H33</f>
        <v>0</v>
      </c>
    </row>
    <row r="130" spans="2:13" s="92" customFormat="1" x14ac:dyDescent="0.2">
      <c r="B130" s="150" t="s">
        <v>355</v>
      </c>
      <c r="C130" s="181" t="s">
        <v>409</v>
      </c>
      <c r="D130" s="181"/>
      <c r="E130" s="181"/>
      <c r="F130" s="181"/>
      <c r="G130" s="181"/>
      <c r="H130" s="181"/>
      <c r="I130" s="181"/>
      <c r="J130" s="182"/>
      <c r="K130" s="151">
        <f>'4 ทำนุบำรุงศิลปะ'!G47</f>
        <v>0</v>
      </c>
      <c r="L130" s="152">
        <f>'4 ทำนุบำรุงศิลปะ'!H47</f>
        <v>0</v>
      </c>
    </row>
    <row r="131" spans="2:13" s="92" customFormat="1" x14ac:dyDescent="0.2">
      <c r="B131" s="150" t="s">
        <v>357</v>
      </c>
      <c r="C131" s="181" t="s">
        <v>410</v>
      </c>
      <c r="D131" s="1426"/>
      <c r="E131" s="1426"/>
      <c r="F131" s="1426"/>
      <c r="G131" s="1426"/>
      <c r="H131" s="1426"/>
      <c r="I131" s="1426"/>
      <c r="J131" s="1400"/>
      <c r="K131" s="151">
        <f>'4 ทำนุบำรุงศิลปะ'!G59</f>
        <v>0</v>
      </c>
      <c r="L131" s="152">
        <f>'4 ทำนุบำรุงศิลปะ'!H59</f>
        <v>0</v>
      </c>
    </row>
    <row r="132" spans="2:13" s="92" customFormat="1" x14ac:dyDescent="0.2">
      <c r="B132" s="2825" t="s">
        <v>411</v>
      </c>
      <c r="C132" s="2826"/>
      <c r="D132" s="2826"/>
      <c r="E132" s="2826"/>
      <c r="F132" s="2826"/>
      <c r="G132" s="2826"/>
      <c r="H132" s="1425"/>
      <c r="I132" s="1425"/>
      <c r="J132" s="1428"/>
      <c r="K132" s="184">
        <f>SUM(K128:K131)</f>
        <v>0</v>
      </c>
      <c r="L132" s="185">
        <f>SUM(L128:L131)</f>
        <v>0</v>
      </c>
    </row>
    <row r="133" spans="2:13" x14ac:dyDescent="0.2">
      <c r="B133" s="123"/>
      <c r="C133" s="123"/>
      <c r="D133" s="123"/>
      <c r="E133" s="123"/>
      <c r="F133" s="123"/>
      <c r="G133" s="123"/>
      <c r="H133" s="123"/>
      <c r="I133" s="123"/>
      <c r="J133" s="123"/>
      <c r="K133" s="92"/>
      <c r="L133" s="92"/>
      <c r="M133" s="92"/>
    </row>
    <row r="134" spans="2:13" s="92" customFormat="1" ht="15" hidden="1" x14ac:dyDescent="0.25">
      <c r="B134" s="124" t="s">
        <v>412</v>
      </c>
      <c r="C134" s="123"/>
      <c r="D134" s="123"/>
      <c r="E134" s="123"/>
      <c r="F134" s="123"/>
      <c r="G134" s="123"/>
      <c r="H134" s="123"/>
      <c r="I134" s="123"/>
      <c r="J134" s="123"/>
    </row>
    <row r="135" spans="2:13" s="92" customFormat="1" ht="25.5" hidden="1" x14ac:dyDescent="0.2">
      <c r="B135" s="2807" t="s">
        <v>413</v>
      </c>
      <c r="C135" s="2828"/>
      <c r="D135" s="2828"/>
      <c r="E135" s="2828"/>
      <c r="F135" s="2828"/>
      <c r="G135" s="2828"/>
      <c r="H135" s="1427"/>
      <c r="I135" s="1427"/>
      <c r="J135" s="1399"/>
      <c r="K135" s="138" t="s">
        <v>323</v>
      </c>
      <c r="L135" s="139" t="s">
        <v>324</v>
      </c>
    </row>
    <row r="136" spans="2:13" s="92" customFormat="1" hidden="1" x14ac:dyDescent="0.2">
      <c r="B136" s="144" t="s">
        <v>79</v>
      </c>
      <c r="C136" s="145" t="s">
        <v>414</v>
      </c>
      <c r="D136" s="145"/>
      <c r="E136" s="146"/>
      <c r="F136" s="146"/>
      <c r="G136" s="146"/>
      <c r="H136" s="146"/>
      <c r="I136" s="146"/>
      <c r="J136" s="147"/>
      <c r="K136" s="148">
        <f>'5 ภาระงานอื่น'!G11</f>
        <v>0</v>
      </c>
      <c r="L136" s="149">
        <f>'5 ภาระงานอื่น'!H11</f>
        <v>0</v>
      </c>
    </row>
    <row r="137" spans="2:13" s="92" customFormat="1" hidden="1" x14ac:dyDescent="0.2">
      <c r="B137" s="150" t="s">
        <v>353</v>
      </c>
      <c r="C137" s="2827" t="s">
        <v>415</v>
      </c>
      <c r="D137" s="2827"/>
      <c r="E137" s="2827"/>
      <c r="F137" s="2827"/>
      <c r="G137" s="2827"/>
      <c r="H137" s="1426"/>
      <c r="I137" s="1426"/>
      <c r="J137" s="1400"/>
      <c r="K137" s="151">
        <f>IF(L137=0,0,'5 ภาระงานอื่น'!G17)</f>
        <v>0</v>
      </c>
      <c r="L137" s="152">
        <f>'5 ภาระงานอื่น'!H17</f>
        <v>0</v>
      </c>
    </row>
    <row r="138" spans="2:13" s="92" customFormat="1" hidden="1" x14ac:dyDescent="0.2">
      <c r="B138" s="150" t="s">
        <v>355</v>
      </c>
      <c r="C138" s="186" t="s">
        <v>416</v>
      </c>
      <c r="D138" s="181"/>
      <c r="E138" s="181"/>
      <c r="F138" s="181"/>
      <c r="G138" s="181"/>
      <c r="H138" s="181"/>
      <c r="I138" s="181"/>
      <c r="J138" s="182"/>
      <c r="K138" s="151">
        <f>'5 ภาระงานอื่น'!G57</f>
        <v>0</v>
      </c>
      <c r="L138" s="152">
        <f>'5 ภาระงานอื่น'!H57</f>
        <v>0</v>
      </c>
    </row>
    <row r="139" spans="2:13" s="92" customFormat="1" hidden="1" x14ac:dyDescent="0.2">
      <c r="B139" s="150" t="s">
        <v>357</v>
      </c>
      <c r="C139" s="181" t="s">
        <v>417</v>
      </c>
      <c r="D139" s="1426"/>
      <c r="E139" s="1426"/>
      <c r="F139" s="1426"/>
      <c r="G139" s="1426"/>
      <c r="H139" s="1426"/>
      <c r="I139" s="1426"/>
      <c r="J139" s="1400"/>
      <c r="K139" s="151">
        <f>'5 ภาระงานอื่น'!G89</f>
        <v>0</v>
      </c>
      <c r="L139" s="152">
        <f>'5 ภาระงานอื่น'!H89</f>
        <v>0</v>
      </c>
    </row>
    <row r="140" spans="2:13" s="92" customFormat="1" hidden="1" x14ac:dyDescent="0.2">
      <c r="B140" s="150" t="s">
        <v>94</v>
      </c>
      <c r="C140" s="181" t="s">
        <v>418</v>
      </c>
      <c r="D140" s="1426"/>
      <c r="E140" s="1426"/>
      <c r="F140" s="1426"/>
      <c r="G140" s="1426"/>
      <c r="H140" s="1426"/>
      <c r="I140" s="1426"/>
      <c r="J140" s="1400"/>
      <c r="K140" s="151">
        <f>'5 ภาระงานอื่น'!G100</f>
        <v>0</v>
      </c>
      <c r="L140" s="152">
        <f>'5 ภาระงานอื่น'!H100</f>
        <v>0</v>
      </c>
    </row>
    <row r="141" spans="2:13" s="92" customFormat="1" hidden="1" x14ac:dyDescent="0.2">
      <c r="B141" s="2825" t="s">
        <v>419</v>
      </c>
      <c r="C141" s="2826"/>
      <c r="D141" s="2826"/>
      <c r="E141" s="2826"/>
      <c r="F141" s="2826"/>
      <c r="G141" s="2826"/>
      <c r="H141" s="1425"/>
      <c r="I141" s="1425"/>
      <c r="J141" s="1428"/>
      <c r="K141" s="184">
        <f>SUM(K136:K140)</f>
        <v>0</v>
      </c>
      <c r="L141" s="185">
        <f>SUM(L136:L140)</f>
        <v>0</v>
      </c>
    </row>
  </sheetData>
  <sheetProtection password="DED6" sheet="1" objects="1" scenarios="1"/>
  <mergeCells count="65">
    <mergeCell ref="L20:L23"/>
    <mergeCell ref="B45:L45"/>
    <mergeCell ref="B49:J49"/>
    <mergeCell ref="K20:K23"/>
    <mergeCell ref="B36:G38"/>
    <mergeCell ref="B31:E31"/>
    <mergeCell ref="B19:D24"/>
    <mergeCell ref="J19:L19"/>
    <mergeCell ref="B8:I8"/>
    <mergeCell ref="D10:H10"/>
    <mergeCell ref="D11:H11"/>
    <mergeCell ref="B41:G41"/>
    <mergeCell ref="B39:G39"/>
    <mergeCell ref="F20:F23"/>
    <mergeCell ref="G20:G23"/>
    <mergeCell ref="H20:H23"/>
    <mergeCell ref="I20:I23"/>
    <mergeCell ref="E19:I19"/>
    <mergeCell ref="B1:L1"/>
    <mergeCell ref="B2:L2"/>
    <mergeCell ref="B62:B63"/>
    <mergeCell ref="L66:L67"/>
    <mergeCell ref="L62:L63"/>
    <mergeCell ref="D14:H14"/>
    <mergeCell ref="B26:D26"/>
    <mergeCell ref="C27:D27"/>
    <mergeCell ref="B18:H18"/>
    <mergeCell ref="C28:D28"/>
    <mergeCell ref="C29:D29"/>
    <mergeCell ref="C30:D30"/>
    <mergeCell ref="B40:G40"/>
    <mergeCell ref="J20:J23"/>
    <mergeCell ref="L64:L65"/>
    <mergeCell ref="D12:H12"/>
    <mergeCell ref="L121:L122"/>
    <mergeCell ref="C77:G77"/>
    <mergeCell ref="C81:G81"/>
    <mergeCell ref="C90:G90"/>
    <mergeCell ref="C66:J66"/>
    <mergeCell ref="C67:J67"/>
    <mergeCell ref="C69:J69"/>
    <mergeCell ref="B74:J74"/>
    <mergeCell ref="B70:J70"/>
    <mergeCell ref="B79:J79"/>
    <mergeCell ref="B83:J83"/>
    <mergeCell ref="B86:J86"/>
    <mergeCell ref="B118:J118"/>
    <mergeCell ref="C78:G78"/>
    <mergeCell ref="B141:G141"/>
    <mergeCell ref="C129:G129"/>
    <mergeCell ref="B132:G132"/>
    <mergeCell ref="B135:G135"/>
    <mergeCell ref="C137:G137"/>
    <mergeCell ref="B126:J126"/>
    <mergeCell ref="B123:J123"/>
    <mergeCell ref="B42:G42"/>
    <mergeCell ref="B43:G43"/>
    <mergeCell ref="C120:J120"/>
    <mergeCell ref="C121:J121"/>
    <mergeCell ref="C122:J122"/>
    <mergeCell ref="B60:J60"/>
    <mergeCell ref="C62:J62"/>
    <mergeCell ref="C63:J63"/>
    <mergeCell ref="C64:J64"/>
    <mergeCell ref="C65:J65"/>
  </mergeCells>
  <conditionalFormatting sqref="J26:J29 I27:I30 H26:H30">
    <cfRule type="containsText" dxfId="23" priority="31" stopIfTrue="1" operator="containsText" text="Unsatisfied">
      <formula>NOT(ISERROR(SEARCH("Unsatisfied",H26)))</formula>
    </cfRule>
    <cfRule type="containsText" dxfId="22" priority="32" stopIfTrue="1" operator="containsText" text="Satisfied">
      <formula>NOT(ISERROR(SEARCH("Satisfied",H26)))</formula>
    </cfRule>
    <cfRule type="expression" dxfId="21" priority="33" stopIfTrue="1">
      <formula>IF($H$27:$H$30,"Satisfied")</formula>
    </cfRule>
  </conditionalFormatting>
  <conditionalFormatting sqref="H25">
    <cfRule type="containsText" dxfId="20" priority="28" stopIfTrue="1" operator="containsText" text="Unsatisfied">
      <formula>NOT(ISERROR(SEARCH("Unsatisfied",H25)))</formula>
    </cfRule>
    <cfRule type="containsText" dxfId="19" priority="29" stopIfTrue="1" operator="containsText" text="Satisfied">
      <formula>NOT(ISERROR(SEARCH("Satisfied",H25)))</formula>
    </cfRule>
    <cfRule type="expression" dxfId="18" priority="30" stopIfTrue="1">
      <formula>IF($H$27:$H$30,"Satisfied")</formula>
    </cfRule>
  </conditionalFormatting>
  <conditionalFormatting sqref="L26">
    <cfRule type="containsText" dxfId="17" priority="25" stopIfTrue="1" operator="containsText" text="Unsatisfied">
      <formula>NOT(ISERROR(SEARCH("Unsatisfied",L26)))</formula>
    </cfRule>
    <cfRule type="containsText" dxfId="16" priority="26" stopIfTrue="1" operator="containsText" text="Satisfied">
      <formula>NOT(ISERROR(SEARCH("Satisfied",L26)))</formula>
    </cfRule>
    <cfRule type="expression" dxfId="15" priority="27" stopIfTrue="1">
      <formula>IF($H$27:$H$30,"Satisfied")</formula>
    </cfRule>
  </conditionalFormatting>
  <conditionalFormatting sqref="L27:L29">
    <cfRule type="containsText" dxfId="14" priority="22" stopIfTrue="1" operator="containsText" text="Unsatisfied">
      <formula>NOT(ISERROR(SEARCH("Unsatisfied",L27)))</formula>
    </cfRule>
    <cfRule type="containsText" dxfId="13" priority="23" stopIfTrue="1" operator="containsText" text="Satisfied">
      <formula>NOT(ISERROR(SEARCH("Satisfied",L27)))</formula>
    </cfRule>
    <cfRule type="expression" dxfId="12" priority="24" stopIfTrue="1">
      <formula>IF($H$27:$H$30,"Satisfied")</formula>
    </cfRule>
  </conditionalFormatting>
  <conditionalFormatting sqref="I26">
    <cfRule type="containsText" dxfId="11" priority="13" stopIfTrue="1" operator="containsText" text="Unsatisfied">
      <formula>NOT(ISERROR(SEARCH("Unsatisfied",I26)))</formula>
    </cfRule>
    <cfRule type="containsText" dxfId="10" priority="14" stopIfTrue="1" operator="containsText" text="Satisfied">
      <formula>NOT(ISERROR(SEARCH("Satisfied",I26)))</formula>
    </cfRule>
    <cfRule type="expression" dxfId="9" priority="15" stopIfTrue="1">
      <formula>IF($H$27:$H$30,"Satisfied")</formula>
    </cfRule>
  </conditionalFormatting>
  <conditionalFormatting sqref="I25">
    <cfRule type="containsText" dxfId="8" priority="10" stopIfTrue="1" operator="containsText" text="Unsatisfied">
      <formula>NOT(ISERROR(SEARCH("Unsatisfied",I25)))</formula>
    </cfRule>
    <cfRule type="containsText" dxfId="7" priority="11" stopIfTrue="1" operator="containsText" text="Satisfied">
      <formula>NOT(ISERROR(SEARCH("Satisfied",I25)))</formula>
    </cfRule>
    <cfRule type="expression" dxfId="6" priority="12" stopIfTrue="1">
      <formula>IF($H$27:$H$30,"Satisfied")</formula>
    </cfRule>
  </conditionalFormatting>
  <conditionalFormatting sqref="H31">
    <cfRule type="containsText" dxfId="5" priority="7" stopIfTrue="1" operator="containsText" text="Unsatisfied">
      <formula>NOT(ISERROR(SEARCH("Unsatisfied",H31)))</formula>
    </cfRule>
    <cfRule type="containsText" dxfId="4" priority="8" stopIfTrue="1" operator="containsText" text="Satisfied">
      <formula>NOT(ISERROR(SEARCH("Satisfied",H31)))</formula>
    </cfRule>
    <cfRule type="expression" dxfId="3" priority="9" stopIfTrue="1">
      <formula>IF($H$27:$H$30,"Satisfied")</formula>
    </cfRule>
  </conditionalFormatting>
  <conditionalFormatting sqref="I31">
    <cfRule type="containsText" dxfId="2" priority="1" stopIfTrue="1" operator="containsText" text="Unsatisfied">
      <formula>NOT(ISERROR(SEARCH("Unsatisfied",I31)))</formula>
    </cfRule>
    <cfRule type="containsText" dxfId="1" priority="2" stopIfTrue="1" operator="containsText" text="Satisfied">
      <formula>NOT(ISERROR(SEARCH("Satisfied",I31)))</formula>
    </cfRule>
    <cfRule type="expression" dxfId="0" priority="3" stopIfTrue="1">
      <formula>IF($H$27:$H$30,"Satisfied")</formula>
    </cfRule>
  </conditionalFormatting>
  <pageMargins left="0.55118110236220474" right="0.39370078740157483" top="0.59055118110236227" bottom="0.39370078740157483" header="0.31496062992125984" footer="0.31496062992125984"/>
  <pageSetup paperSize="9" scale="75" orientation="portrait" verticalDpi="1200" r:id="rId1"/>
  <headerFooter>
    <oddFooter>&amp;C&amp;9APS v.4.4 ข้าราชการ</oddFooter>
  </headerFooter>
  <rowBreaks count="2" manualBreakCount="2">
    <brk id="46" max="16383" man="1"/>
    <brk id="84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indexed="29"/>
  </sheetPr>
  <dimension ref="A1:AC419"/>
  <sheetViews>
    <sheetView showGridLines="0" zoomScaleNormal="100" zoomScaleSheetLayoutView="70" workbookViewId="0">
      <selection activeCell="B16" sqref="B16:J16"/>
    </sheetView>
  </sheetViews>
  <sheetFormatPr defaultRowHeight="14.25" x14ac:dyDescent="0.2"/>
  <cols>
    <col min="1" max="1" width="1.625" style="187" customWidth="1"/>
    <col min="2" max="2" width="8.25" style="187" customWidth="1"/>
    <col min="3" max="3" width="7.125" style="187" customWidth="1"/>
    <col min="4" max="4" width="27.125" style="187" customWidth="1"/>
    <col min="5" max="5" width="7.375" style="188" customWidth="1"/>
    <col min="6" max="6" width="10.75" style="187" bestFit="1" customWidth="1"/>
    <col min="7" max="7" width="11" style="188" bestFit="1" customWidth="1"/>
    <col min="8" max="8" width="10.875" style="188" customWidth="1"/>
    <col min="9" max="9" width="7.75" style="188" customWidth="1"/>
    <col min="10" max="10" width="11.625" style="188" customWidth="1"/>
    <col min="11" max="11" width="11.625" style="187" bestFit="1" customWidth="1"/>
    <col min="12" max="13" width="8" style="187" customWidth="1"/>
    <col min="14" max="15" width="9.875" style="187" hidden="1" customWidth="1"/>
    <col min="16" max="16" width="8" style="187" hidden="1" customWidth="1"/>
    <col min="17" max="17" width="8.875" style="187" hidden="1" customWidth="1"/>
    <col min="18" max="19" width="8" style="187" hidden="1" customWidth="1"/>
    <col min="20" max="23" width="8" style="187" customWidth="1"/>
    <col min="24" max="24" width="5.625" style="188" customWidth="1"/>
    <col min="25" max="25" width="8" style="188" customWidth="1"/>
    <col min="26" max="26" width="7.125" style="188" customWidth="1"/>
    <col min="27" max="34" width="8" style="187" customWidth="1"/>
    <col min="35" max="16384" width="9" style="187"/>
  </cols>
  <sheetData>
    <row r="1" spans="1:26" x14ac:dyDescent="0.2">
      <c r="J1" s="189"/>
      <c r="K1" s="190"/>
      <c r="L1" s="190"/>
    </row>
    <row r="2" spans="1:26" ht="23.25" x14ac:dyDescent="0.35">
      <c r="B2" s="191" t="s">
        <v>422</v>
      </c>
      <c r="D2" s="192"/>
      <c r="E2" s="193"/>
      <c r="J2" s="2952"/>
      <c r="K2" s="2952"/>
      <c r="L2" s="194"/>
    </row>
    <row r="3" spans="1:26" ht="15" x14ac:dyDescent="0.2">
      <c r="B3" s="680" t="s">
        <v>1199</v>
      </c>
      <c r="J3" s="195"/>
      <c r="K3" s="196"/>
      <c r="L3" s="195"/>
    </row>
    <row r="4" spans="1:26" ht="15" x14ac:dyDescent="0.2">
      <c r="B4" s="680" t="s">
        <v>1200</v>
      </c>
      <c r="E4" s="2090"/>
      <c r="G4" s="2090"/>
      <c r="H4" s="2090"/>
      <c r="I4" s="2090"/>
      <c r="J4" s="195"/>
      <c r="K4" s="196"/>
      <c r="L4" s="195"/>
      <c r="X4" s="2090"/>
      <c r="Y4" s="2090"/>
      <c r="Z4" s="2090"/>
    </row>
    <row r="5" spans="1:26" ht="9.75" customHeight="1" x14ac:dyDescent="0.25">
      <c r="A5" s="197"/>
      <c r="B5" s="198"/>
      <c r="C5" s="197"/>
      <c r="D5" s="197"/>
      <c r="E5" s="199"/>
      <c r="F5" s="197"/>
      <c r="G5" s="199"/>
      <c r="K5" s="199"/>
      <c r="L5" s="200"/>
    </row>
    <row r="6" spans="1:26" ht="18" x14ac:dyDescent="0.25">
      <c r="A6" s="197"/>
      <c r="B6" s="2953" t="s">
        <v>423</v>
      </c>
      <c r="C6" s="2954"/>
      <c r="D6" s="2954"/>
      <c r="E6" s="2954"/>
      <c r="F6" s="2954"/>
      <c r="G6" s="2954"/>
      <c r="H6" s="2954"/>
      <c r="I6" s="2954"/>
      <c r="J6" s="2954"/>
      <c r="K6" s="2955"/>
      <c r="L6" s="200"/>
      <c r="N6" s="1049">
        <v>242431</v>
      </c>
      <c r="O6" s="1049">
        <v>242430</v>
      </c>
    </row>
    <row r="7" spans="1:26" ht="31.5" customHeight="1" x14ac:dyDescent="0.2">
      <c r="A7" s="197"/>
      <c r="B7" s="201" t="s">
        <v>424</v>
      </c>
      <c r="C7" s="2956" t="s">
        <v>425</v>
      </c>
      <c r="D7" s="2956"/>
      <c r="E7" s="2956"/>
      <c r="F7" s="2956"/>
      <c r="G7" s="2956"/>
      <c r="H7" s="2956"/>
      <c r="I7" s="2956"/>
      <c r="J7" s="202" t="s">
        <v>426</v>
      </c>
      <c r="K7" s="203" t="s">
        <v>282</v>
      </c>
      <c r="L7" s="200"/>
      <c r="N7" s="1049">
        <v>233757</v>
      </c>
      <c r="O7" s="1041"/>
    </row>
    <row r="8" spans="1:26" ht="27" customHeight="1" x14ac:dyDescent="0.2">
      <c r="A8" s="197"/>
      <c r="B8" s="2957">
        <v>1</v>
      </c>
      <c r="C8" s="2958" t="s">
        <v>427</v>
      </c>
      <c r="D8" s="2958"/>
      <c r="E8" s="2958"/>
      <c r="F8" s="2958"/>
      <c r="G8" s="2958"/>
      <c r="H8" s="2958"/>
      <c r="I8" s="2958"/>
      <c r="J8" s="204"/>
      <c r="K8" s="2959">
        <f>IF(AND(N8=TRUE,N9=TRUE),1,0)</f>
        <v>0</v>
      </c>
      <c r="L8" s="205"/>
      <c r="N8" s="206" t="b">
        <v>0</v>
      </c>
      <c r="O8" s="206"/>
      <c r="P8" s="206"/>
      <c r="Q8" s="206"/>
    </row>
    <row r="9" spans="1:26" ht="27" customHeight="1" x14ac:dyDescent="0.2">
      <c r="A9" s="197"/>
      <c r="B9" s="2957"/>
      <c r="C9" s="2958" t="s">
        <v>428</v>
      </c>
      <c r="D9" s="2958"/>
      <c r="E9" s="2958"/>
      <c r="F9" s="2958"/>
      <c r="G9" s="2958"/>
      <c r="H9" s="2958"/>
      <c r="I9" s="2958"/>
      <c r="J9" s="204"/>
      <c r="K9" s="2960"/>
      <c r="L9" s="205"/>
      <c r="N9" s="206" t="b">
        <v>0</v>
      </c>
      <c r="O9" s="206"/>
      <c r="P9" s="206"/>
      <c r="Q9" s="206"/>
    </row>
    <row r="10" spans="1:26" ht="27" customHeight="1" x14ac:dyDescent="0.2">
      <c r="A10" s="197"/>
      <c r="B10" s="2957">
        <v>2</v>
      </c>
      <c r="C10" s="2958" t="s">
        <v>429</v>
      </c>
      <c r="D10" s="2958"/>
      <c r="E10" s="2958"/>
      <c r="F10" s="2958"/>
      <c r="G10" s="2958"/>
      <c r="H10" s="2958"/>
      <c r="I10" s="2958"/>
      <c r="J10" s="207"/>
      <c r="K10" s="2959">
        <f>IF(AND(N8=TRUE,OR(N10=TRUE,N11=TRUE)),3,0)</f>
        <v>0</v>
      </c>
      <c r="L10" s="205"/>
      <c r="N10" s="206" t="b">
        <v>0</v>
      </c>
      <c r="O10" s="206"/>
      <c r="P10" s="206"/>
      <c r="Q10" s="206"/>
    </row>
    <row r="11" spans="1:26" ht="30" customHeight="1" x14ac:dyDescent="0.2">
      <c r="A11" s="197"/>
      <c r="B11" s="2957"/>
      <c r="C11" s="2958" t="s">
        <v>430</v>
      </c>
      <c r="D11" s="2958"/>
      <c r="E11" s="2958"/>
      <c r="F11" s="2958"/>
      <c r="G11" s="2958"/>
      <c r="H11" s="2958"/>
      <c r="I11" s="2958"/>
      <c r="J11" s="207"/>
      <c r="K11" s="2970"/>
      <c r="L11" s="205"/>
      <c r="N11" s="206" t="b">
        <v>0</v>
      </c>
      <c r="O11" s="206"/>
      <c r="P11" s="206"/>
      <c r="Q11" s="206"/>
    </row>
    <row r="12" spans="1:26" ht="30" customHeight="1" x14ac:dyDescent="0.2">
      <c r="A12" s="197"/>
      <c r="B12" s="2971">
        <v>3</v>
      </c>
      <c r="C12" s="2973" t="s">
        <v>1205</v>
      </c>
      <c r="D12" s="2958"/>
      <c r="E12" s="2958"/>
      <c r="F12" s="2958"/>
      <c r="G12" s="2958"/>
      <c r="H12" s="2958"/>
      <c r="I12" s="2958"/>
      <c r="J12" s="207"/>
      <c r="K12" s="2959">
        <f>IF(AND(N12=TRUE,N13=TRUE),1,0)</f>
        <v>0</v>
      </c>
      <c r="L12" s="1378"/>
      <c r="N12" s="206" t="b">
        <v>0</v>
      </c>
      <c r="O12" s="206"/>
      <c r="P12" s="206"/>
      <c r="Q12" s="206"/>
    </row>
    <row r="13" spans="1:26" ht="30" customHeight="1" x14ac:dyDescent="0.2">
      <c r="A13" s="197"/>
      <c r="B13" s="2972"/>
      <c r="C13" s="2958" t="s">
        <v>431</v>
      </c>
      <c r="D13" s="2958"/>
      <c r="E13" s="2958"/>
      <c r="F13" s="2958"/>
      <c r="G13" s="2958"/>
      <c r="H13" s="2958"/>
      <c r="I13" s="2958"/>
      <c r="J13" s="208"/>
      <c r="K13" s="2970"/>
      <c r="L13" s="205"/>
      <c r="N13" s="206" t="b">
        <v>0</v>
      </c>
      <c r="O13" s="206"/>
      <c r="P13" s="206"/>
      <c r="Q13" s="206"/>
    </row>
    <row r="14" spans="1:26" ht="78" customHeight="1" x14ac:dyDescent="0.2">
      <c r="A14" s="197"/>
      <c r="B14" s="209">
        <v>4</v>
      </c>
      <c r="C14" s="2964" t="s">
        <v>432</v>
      </c>
      <c r="D14" s="2964"/>
      <c r="E14" s="2964"/>
      <c r="F14" s="2964"/>
      <c r="G14" s="2964"/>
      <c r="H14" s="2964"/>
      <c r="I14" s="2964"/>
      <c r="J14" s="210" t="str">
        <f>IF(OR(J342&lt;&gt;0,J354&lt;&gt;0,J364&lt;&gt;0,J378&lt;&gt;0),"มี","ไม่มี")</f>
        <v>ไม่มี</v>
      </c>
      <c r="K14" s="211">
        <f>IF(AND(J14="มี",N8=TRUE),3,0)</f>
        <v>0</v>
      </c>
      <c r="L14" s="205"/>
      <c r="N14" s="206"/>
      <c r="O14" s="206"/>
      <c r="P14" s="206"/>
      <c r="Q14" s="206"/>
    </row>
    <row r="15" spans="1:26" ht="28.5" customHeight="1" x14ac:dyDescent="0.2">
      <c r="A15" s="197"/>
      <c r="B15" s="1435">
        <v>5</v>
      </c>
      <c r="C15" s="2965" t="s">
        <v>1206</v>
      </c>
      <c r="D15" s="2966"/>
      <c r="E15" s="2966"/>
      <c r="F15" s="2966"/>
      <c r="G15" s="2966"/>
      <c r="H15" s="2966"/>
      <c r="I15" s="2966"/>
      <c r="J15" s="1436"/>
      <c r="K15" s="1437">
        <f>IF(N15=TRUE,2,0)</f>
        <v>0</v>
      </c>
      <c r="L15" s="1378"/>
      <c r="N15" s="206" t="b">
        <v>0</v>
      </c>
      <c r="O15" s="206"/>
      <c r="P15" s="206"/>
      <c r="Q15" s="206"/>
    </row>
    <row r="16" spans="1:26" ht="18" customHeight="1" x14ac:dyDescent="0.2">
      <c r="A16" s="197"/>
      <c r="B16" s="2967" t="s">
        <v>433</v>
      </c>
      <c r="C16" s="2968"/>
      <c r="D16" s="2968"/>
      <c r="E16" s="2968"/>
      <c r="F16" s="2968"/>
      <c r="G16" s="2968"/>
      <c r="H16" s="2968"/>
      <c r="I16" s="2968"/>
      <c r="J16" s="2969"/>
      <c r="K16" s="212">
        <f>SUM(K8:K15)</f>
        <v>0</v>
      </c>
      <c r="L16" s="1379"/>
    </row>
    <row r="17" spans="1:29" ht="18" x14ac:dyDescent="0.25">
      <c r="A17" s="197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00"/>
    </row>
    <row r="18" spans="1:29" ht="18" x14ac:dyDescent="0.25">
      <c r="A18" s="197"/>
      <c r="B18" s="2953" t="s">
        <v>434</v>
      </c>
      <c r="C18" s="2954"/>
      <c r="D18" s="2954"/>
      <c r="E18" s="2954"/>
      <c r="F18" s="2954"/>
      <c r="G18" s="2954"/>
      <c r="H18" s="2954"/>
      <c r="I18" s="2954"/>
      <c r="J18" s="2954"/>
      <c r="K18" s="2955"/>
      <c r="L18" s="200"/>
    </row>
    <row r="19" spans="1:29" s="214" customFormat="1" ht="21" customHeight="1" x14ac:dyDescent="0.2">
      <c r="B19" s="215">
        <v>1</v>
      </c>
      <c r="C19" s="216" t="s">
        <v>325</v>
      </c>
      <c r="D19" s="217"/>
      <c r="E19" s="218"/>
      <c r="F19" s="218"/>
      <c r="G19" s="219"/>
      <c r="H19" s="219"/>
      <c r="I19" s="219"/>
      <c r="J19" s="219"/>
      <c r="K19" s="220"/>
      <c r="L19" s="221"/>
      <c r="X19" s="222"/>
      <c r="Y19" s="222"/>
      <c r="Z19" s="222"/>
    </row>
    <row r="20" spans="1:29" s="214" customFormat="1" ht="21" customHeight="1" x14ac:dyDescent="0.2">
      <c r="B20" s="223">
        <v>1.1000000000000001</v>
      </c>
      <c r="C20" s="224" t="s">
        <v>435</v>
      </c>
      <c r="D20" s="225"/>
      <c r="E20" s="226"/>
      <c r="F20" s="226"/>
      <c r="G20" s="227"/>
      <c r="H20" s="227"/>
      <c r="I20" s="227"/>
      <c r="J20" s="227"/>
      <c r="K20" s="228"/>
      <c r="L20" s="229"/>
      <c r="X20" s="222"/>
      <c r="Y20" s="222"/>
      <c r="Z20" s="222"/>
    </row>
    <row r="21" spans="1:29" s="214" customFormat="1" ht="19.5" customHeight="1" x14ac:dyDescent="0.2">
      <c r="B21" s="230"/>
      <c r="C21" s="231" t="s">
        <v>436</v>
      </c>
      <c r="D21" s="232"/>
      <c r="E21" s="233"/>
      <c r="F21" s="234" t="s">
        <v>437</v>
      </c>
      <c r="G21" s="235"/>
      <c r="H21" s="233"/>
      <c r="I21" s="235"/>
      <c r="J21" s="235"/>
      <c r="K21" s="236"/>
      <c r="L21" s="237"/>
      <c r="X21" s="222"/>
      <c r="Y21" s="222"/>
      <c r="Z21" s="222"/>
    </row>
    <row r="22" spans="1:29" ht="14.25" customHeight="1" x14ac:dyDescent="0.2">
      <c r="B22" s="238"/>
      <c r="C22" s="239" t="s">
        <v>438</v>
      </c>
      <c r="D22" s="2894" t="s">
        <v>439</v>
      </c>
      <c r="E22" s="2895"/>
      <c r="F22" s="239" t="s">
        <v>280</v>
      </c>
      <c r="G22" s="240" t="s">
        <v>440</v>
      </c>
      <c r="H22" s="242" t="s">
        <v>280</v>
      </c>
      <c r="I22" s="243" t="s">
        <v>442</v>
      </c>
      <c r="J22" s="243" t="s">
        <v>443</v>
      </c>
      <c r="K22" s="244" t="s">
        <v>443</v>
      </c>
      <c r="L22" s="245"/>
    </row>
    <row r="23" spans="1:29" ht="14.25" customHeight="1" x14ac:dyDescent="0.2">
      <c r="B23" s="246"/>
      <c r="C23" s="247"/>
      <c r="D23" s="2950" t="s">
        <v>972</v>
      </c>
      <c r="E23" s="2951"/>
      <c r="F23" s="247" t="s">
        <v>444</v>
      </c>
      <c r="G23" s="248" t="s">
        <v>445</v>
      </c>
      <c r="H23" s="250" t="s">
        <v>447</v>
      </c>
      <c r="I23" s="251" t="s">
        <v>448</v>
      </c>
      <c r="J23" s="251" t="s">
        <v>445</v>
      </c>
      <c r="K23" s="244" t="s">
        <v>315</v>
      </c>
      <c r="L23" s="252"/>
      <c r="Q23" s="2974"/>
      <c r="R23" s="2974"/>
      <c r="S23" s="2974"/>
      <c r="T23" s="2974"/>
    </row>
    <row r="24" spans="1:29" ht="14.25" customHeight="1" x14ac:dyDescent="0.2">
      <c r="B24" s="253"/>
      <c r="C24" s="254"/>
      <c r="D24" s="2946" t="s">
        <v>1017</v>
      </c>
      <c r="E24" s="2947"/>
      <c r="F24" s="254"/>
      <c r="G24" s="255"/>
      <c r="H24" s="257"/>
      <c r="I24" s="258"/>
      <c r="J24" s="258"/>
      <c r="K24" s="259"/>
      <c r="L24" s="260"/>
    </row>
    <row r="25" spans="1:29" s="261" customFormat="1" x14ac:dyDescent="0.2">
      <c r="B25" s="262" t="s">
        <v>450</v>
      </c>
      <c r="C25" s="263" t="s">
        <v>451</v>
      </c>
      <c r="D25" s="2905" t="s">
        <v>940</v>
      </c>
      <c r="E25" s="2906"/>
      <c r="F25" s="263">
        <v>61</v>
      </c>
      <c r="G25" s="264">
        <v>30</v>
      </c>
      <c r="H25" s="676">
        <v>1</v>
      </c>
      <c r="I25" s="309" t="str">
        <f t="shared" ref="I25:I55" si="0">IF(AND(F25&gt;0,F25&lt;=100),IF(AND(H25&lt;&gt;"",H25&lt;&gt;0),IF(H25&lt;=3,3*H25,(3*3)+((3*0.75)*(H25-3))),3),IF(AND(F25&gt;100,F25&lt;=160),IF(AND(H25&lt;&gt;"",H25&lt;&gt;0),IF(H25&lt;=3,3.75*H25,(3.75*3)+((3.75*0.75)*(H25-3))),3.75),IF(AND(F25&gt;160,F25&lt;=220),IF(AND(H25&lt;&gt;"",H25&lt;&gt;0),IF(H25&lt;=3,4.5*H25,(4.5*3)+((4.5*0.75)*(H25-3))),4.5),IF(AND(F25&gt;221,F25&lt;=280),IF(AND(H25&lt;&gt;"",H25&lt;&gt;0),IF(H25&lt;=3,5.25*H25,(5.25*3)+((5.25*0.75)*(H25-3))),5.25),IF(AND(F25&gt;280,F25&lt;=340),IF(AND(H25&lt;&gt;"",H25&lt;&gt;0),IF(H25&lt;=3,6*H25,(6*3)+((6*0.75)*(H25-3))),6),"")))))&amp;IF(AND(F25&gt;340,F25&lt;=400),IF(AND(H25&lt;&gt;"",H25&lt;&gt;0),IF(H25&lt;=3,6.75*H25,(6.75*3)+((6.75*0.75)*(H25-3))),6.75),IF(AND(F25&gt;401,F25&lt;=460),IF(AND(H25&lt;&gt;"",H25&lt;&gt;0),IF(H25&lt;=3,7.5*H25,(7.5*3)+((7.5*0.75)*(H25-3))),7.5),IF(AND(F25&gt;460,F25&lt;=520),IF(AND(H25&lt;&gt;"",H25&lt;&gt;0),IF(H25&lt;=3,8.25*H25,(8.25*3)+((8.25*0.75)*(H25-3))),8.25),IF(F25&gt;520,IF(AND(H25&lt;&gt;"",H25&lt;&gt;0),IF(H25&lt;=3,9*H25,(9*3)+((9*0.75)*(H25-3))),9),""))))</f>
        <v>3</v>
      </c>
      <c r="J25" s="677">
        <f>IF(AND(F25&lt;&gt;"",F25&lt;&gt;0),IF(AND(G25&lt;&gt;"",G25&lt;&gt;0),G25*I25,0),0)</f>
        <v>90</v>
      </c>
      <c r="K25" s="678">
        <f t="shared" ref="K25:K55" si="1">J25/15</f>
        <v>6</v>
      </c>
      <c r="L25" s="265"/>
      <c r="M25" s="266"/>
      <c r="O25" s="266"/>
      <c r="X25" s="267"/>
      <c r="Y25" s="267"/>
      <c r="Z25" s="267"/>
      <c r="AA25" s="266"/>
      <c r="AB25" s="266"/>
      <c r="AC25" s="266"/>
    </row>
    <row r="26" spans="1:29" s="268" customFormat="1" ht="12.75" x14ac:dyDescent="0.2">
      <c r="B26" s="1411" t="s">
        <v>547</v>
      </c>
      <c r="C26" s="1476"/>
      <c r="D26" s="2904"/>
      <c r="E26" s="2889"/>
      <c r="F26" s="270"/>
      <c r="G26" s="270"/>
      <c r="H26" s="271" t="str">
        <f t="shared" ref="H26:H55" si="2">IF(F26&lt;&gt;"",1,"")</f>
        <v/>
      </c>
      <c r="I26" s="272" t="str">
        <f t="shared" si="0"/>
        <v/>
      </c>
      <c r="J26" s="273">
        <f>IF(AND(F26&lt;&gt;"",F26&lt;&gt;0),IF(AND(G26&lt;&gt;"",G26&lt;&gt;0),G26*I26,0),0)</f>
        <v>0</v>
      </c>
      <c r="K26" s="274">
        <f t="shared" si="1"/>
        <v>0</v>
      </c>
      <c r="L26" s="275"/>
      <c r="O26" s="276"/>
      <c r="X26" s="277"/>
      <c r="Y26" s="267"/>
      <c r="Z26" s="267"/>
      <c r="AA26" s="266"/>
      <c r="AB26" s="266"/>
      <c r="AC26" s="266"/>
    </row>
    <row r="27" spans="1:29" s="268" customFormat="1" ht="12.75" x14ac:dyDescent="0.2">
      <c r="B27" s="1411" t="s">
        <v>548</v>
      </c>
      <c r="C27" s="270"/>
      <c r="D27" s="2904"/>
      <c r="E27" s="2889"/>
      <c r="F27" s="270"/>
      <c r="G27" s="270"/>
      <c r="H27" s="271" t="str">
        <f t="shared" si="2"/>
        <v/>
      </c>
      <c r="I27" s="272" t="str">
        <f t="shared" si="0"/>
        <v/>
      </c>
      <c r="J27" s="273">
        <f t="shared" ref="J27:J55" si="3">IF(AND(F27&lt;&gt;"",F27&lt;&gt;0),IF(AND(G27&lt;&gt;"",G27&lt;&gt;0),G27*I27,0),0)</f>
        <v>0</v>
      </c>
      <c r="K27" s="280">
        <f t="shared" si="1"/>
        <v>0</v>
      </c>
      <c r="L27" s="275"/>
      <c r="O27" s="276"/>
      <c r="X27" s="277"/>
      <c r="Y27" s="267"/>
      <c r="Z27" s="267"/>
      <c r="AA27" s="266"/>
      <c r="AB27" s="266"/>
      <c r="AC27" s="266"/>
    </row>
    <row r="28" spans="1:29" s="268" customFormat="1" ht="12.75" x14ac:dyDescent="0.2">
      <c r="B28" s="1411" t="s">
        <v>549</v>
      </c>
      <c r="C28" s="279"/>
      <c r="D28" s="2904"/>
      <c r="E28" s="2889"/>
      <c r="F28" s="270"/>
      <c r="G28" s="270"/>
      <c r="H28" s="271" t="str">
        <f t="shared" si="2"/>
        <v/>
      </c>
      <c r="I28" s="272" t="str">
        <f t="shared" si="0"/>
        <v/>
      </c>
      <c r="J28" s="273">
        <f t="shared" si="3"/>
        <v>0</v>
      </c>
      <c r="K28" s="280">
        <f t="shared" si="1"/>
        <v>0</v>
      </c>
      <c r="L28" s="275"/>
      <c r="O28" s="276"/>
      <c r="X28" s="277"/>
      <c r="Y28" s="267"/>
      <c r="Z28" s="267"/>
      <c r="AA28" s="266"/>
      <c r="AB28" s="266"/>
      <c r="AC28" s="266"/>
    </row>
    <row r="29" spans="1:29" s="268" customFormat="1" ht="12.75" x14ac:dyDescent="0.2">
      <c r="B29" s="1411" t="s">
        <v>550</v>
      </c>
      <c r="C29" s="279"/>
      <c r="D29" s="2907"/>
      <c r="E29" s="2908"/>
      <c r="F29" s="270"/>
      <c r="G29" s="270"/>
      <c r="H29" s="271" t="str">
        <f t="shared" si="2"/>
        <v/>
      </c>
      <c r="I29" s="272" t="str">
        <f t="shared" si="0"/>
        <v/>
      </c>
      <c r="J29" s="273">
        <f t="shared" si="3"/>
        <v>0</v>
      </c>
      <c r="K29" s="280">
        <f t="shared" si="1"/>
        <v>0</v>
      </c>
      <c r="L29" s="281"/>
      <c r="O29" s="276"/>
      <c r="X29" s="277"/>
      <c r="Y29" s="267"/>
      <c r="Z29" s="267"/>
      <c r="AA29" s="266"/>
      <c r="AB29" s="266"/>
      <c r="AC29" s="266"/>
    </row>
    <row r="30" spans="1:29" s="268" customFormat="1" ht="12.75" x14ac:dyDescent="0.2">
      <c r="B30" s="1411" t="s">
        <v>551</v>
      </c>
      <c r="C30" s="279"/>
      <c r="D30" s="2888"/>
      <c r="E30" s="2889"/>
      <c r="F30" s="270"/>
      <c r="G30" s="270"/>
      <c r="H30" s="271" t="str">
        <f t="shared" si="2"/>
        <v/>
      </c>
      <c r="I30" s="272" t="str">
        <f t="shared" si="0"/>
        <v/>
      </c>
      <c r="J30" s="273">
        <f t="shared" si="3"/>
        <v>0</v>
      </c>
      <c r="K30" s="280">
        <f t="shared" si="1"/>
        <v>0</v>
      </c>
      <c r="L30" s="275"/>
      <c r="O30" s="276"/>
      <c r="X30" s="277"/>
      <c r="Y30" s="267"/>
      <c r="Z30" s="267"/>
      <c r="AA30" s="266"/>
      <c r="AB30" s="266"/>
      <c r="AC30" s="266"/>
    </row>
    <row r="31" spans="1:29" s="268" customFormat="1" ht="12.75" x14ac:dyDescent="0.2">
      <c r="B31" s="1411" t="s">
        <v>552</v>
      </c>
      <c r="C31" s="279"/>
      <c r="D31" s="2888"/>
      <c r="E31" s="2889"/>
      <c r="F31" s="270"/>
      <c r="G31" s="270"/>
      <c r="H31" s="271" t="str">
        <f t="shared" si="2"/>
        <v/>
      </c>
      <c r="I31" s="272" t="str">
        <f t="shared" si="0"/>
        <v/>
      </c>
      <c r="J31" s="273">
        <f t="shared" si="3"/>
        <v>0</v>
      </c>
      <c r="K31" s="280">
        <f t="shared" si="1"/>
        <v>0</v>
      </c>
      <c r="L31" s="275"/>
      <c r="O31" s="276"/>
      <c r="X31" s="277"/>
      <c r="Y31" s="267"/>
      <c r="Z31" s="267"/>
      <c r="AA31" s="266"/>
      <c r="AB31" s="266"/>
      <c r="AC31" s="266"/>
    </row>
    <row r="32" spans="1:29" s="268" customFormat="1" ht="12.75" x14ac:dyDescent="0.2">
      <c r="B32" s="1411" t="s">
        <v>553</v>
      </c>
      <c r="C32" s="279"/>
      <c r="D32" s="2888"/>
      <c r="E32" s="2889"/>
      <c r="F32" s="270"/>
      <c r="G32" s="270"/>
      <c r="H32" s="271" t="str">
        <f t="shared" si="2"/>
        <v/>
      </c>
      <c r="I32" s="272" t="str">
        <f t="shared" si="0"/>
        <v/>
      </c>
      <c r="J32" s="273">
        <f t="shared" si="3"/>
        <v>0</v>
      </c>
      <c r="K32" s="280">
        <f t="shared" si="1"/>
        <v>0</v>
      </c>
      <c r="L32" s="275"/>
      <c r="O32" s="276"/>
      <c r="X32" s="277"/>
      <c r="Y32" s="267"/>
      <c r="Z32" s="267"/>
      <c r="AA32" s="266"/>
      <c r="AB32" s="266"/>
      <c r="AC32" s="266"/>
    </row>
    <row r="33" spans="2:29" s="268" customFormat="1" ht="12.75" x14ac:dyDescent="0.2">
      <c r="B33" s="1411" t="s">
        <v>554</v>
      </c>
      <c r="C33" s="279"/>
      <c r="D33" s="2888"/>
      <c r="E33" s="2889"/>
      <c r="F33" s="270"/>
      <c r="G33" s="270"/>
      <c r="H33" s="271" t="str">
        <f t="shared" si="2"/>
        <v/>
      </c>
      <c r="I33" s="272" t="str">
        <f t="shared" si="0"/>
        <v/>
      </c>
      <c r="J33" s="273">
        <f t="shared" si="3"/>
        <v>0</v>
      </c>
      <c r="K33" s="280">
        <f t="shared" si="1"/>
        <v>0</v>
      </c>
      <c r="L33" s="275"/>
      <c r="O33" s="276"/>
      <c r="X33" s="277"/>
      <c r="Y33" s="267"/>
      <c r="Z33" s="267"/>
      <c r="AA33" s="266"/>
      <c r="AB33" s="266"/>
      <c r="AC33" s="266"/>
    </row>
    <row r="34" spans="2:29" s="268" customFormat="1" ht="12.75" x14ac:dyDescent="0.2">
      <c r="B34" s="1411" t="s">
        <v>721</v>
      </c>
      <c r="C34" s="279"/>
      <c r="D34" s="2888"/>
      <c r="E34" s="2889"/>
      <c r="F34" s="270"/>
      <c r="G34" s="270"/>
      <c r="H34" s="271" t="str">
        <f t="shared" si="2"/>
        <v/>
      </c>
      <c r="I34" s="272" t="str">
        <f t="shared" si="0"/>
        <v/>
      </c>
      <c r="J34" s="273">
        <f t="shared" si="3"/>
        <v>0</v>
      </c>
      <c r="K34" s="280">
        <f t="shared" si="1"/>
        <v>0</v>
      </c>
      <c r="L34" s="275"/>
      <c r="O34" s="276"/>
      <c r="X34" s="277"/>
      <c r="Y34" s="267"/>
      <c r="Z34" s="267"/>
      <c r="AA34" s="266"/>
      <c r="AB34" s="266"/>
      <c r="AC34" s="266"/>
    </row>
    <row r="35" spans="2:29" s="268" customFormat="1" ht="12.75" x14ac:dyDescent="0.2">
      <c r="B35" s="1411" t="s">
        <v>722</v>
      </c>
      <c r="C35" s="279"/>
      <c r="D35" s="2888"/>
      <c r="E35" s="2889"/>
      <c r="F35" s="270"/>
      <c r="G35" s="270"/>
      <c r="H35" s="271" t="str">
        <f t="shared" si="2"/>
        <v/>
      </c>
      <c r="I35" s="272" t="str">
        <f t="shared" si="0"/>
        <v/>
      </c>
      <c r="J35" s="273">
        <f t="shared" si="3"/>
        <v>0</v>
      </c>
      <c r="K35" s="280">
        <f t="shared" si="1"/>
        <v>0</v>
      </c>
      <c r="L35" s="275"/>
      <c r="O35" s="276"/>
      <c r="X35" s="277"/>
      <c r="Y35" s="267"/>
      <c r="Z35" s="267"/>
      <c r="AA35" s="266"/>
      <c r="AB35" s="266"/>
      <c r="AC35" s="266"/>
    </row>
    <row r="36" spans="2:29" s="268" customFormat="1" ht="12.75" x14ac:dyDescent="0.2">
      <c r="B36" s="1411" t="s">
        <v>742</v>
      </c>
      <c r="C36" s="270"/>
      <c r="D36" s="2888"/>
      <c r="E36" s="2889"/>
      <c r="F36" s="270"/>
      <c r="G36" s="270"/>
      <c r="H36" s="271" t="str">
        <f t="shared" si="2"/>
        <v/>
      </c>
      <c r="I36" s="272" t="str">
        <f t="shared" si="0"/>
        <v/>
      </c>
      <c r="J36" s="273">
        <f t="shared" si="3"/>
        <v>0</v>
      </c>
      <c r="K36" s="274">
        <f t="shared" si="1"/>
        <v>0</v>
      </c>
      <c r="L36" s="275"/>
      <c r="O36" s="276"/>
      <c r="X36" s="277"/>
      <c r="Y36" s="267"/>
      <c r="Z36" s="267"/>
      <c r="AA36" s="266"/>
      <c r="AB36" s="266"/>
      <c r="AC36" s="266"/>
    </row>
    <row r="37" spans="2:29" s="268" customFormat="1" ht="12.75" x14ac:dyDescent="0.2">
      <c r="B37" s="1411" t="s">
        <v>743</v>
      </c>
      <c r="C37" s="279"/>
      <c r="D37" s="2888"/>
      <c r="E37" s="2889"/>
      <c r="F37" s="270"/>
      <c r="G37" s="270"/>
      <c r="H37" s="271" t="str">
        <f t="shared" si="2"/>
        <v/>
      </c>
      <c r="I37" s="272" t="str">
        <f t="shared" si="0"/>
        <v/>
      </c>
      <c r="J37" s="273">
        <f t="shared" si="3"/>
        <v>0</v>
      </c>
      <c r="K37" s="280">
        <f t="shared" si="1"/>
        <v>0</v>
      </c>
      <c r="L37" s="275"/>
      <c r="O37" s="276"/>
      <c r="X37" s="277"/>
      <c r="Y37" s="267"/>
      <c r="Z37" s="267"/>
      <c r="AA37" s="266"/>
      <c r="AB37" s="266"/>
      <c r="AC37" s="266"/>
    </row>
    <row r="38" spans="2:29" s="268" customFormat="1" ht="12.75" x14ac:dyDescent="0.2">
      <c r="B38" s="1411" t="s">
        <v>744</v>
      </c>
      <c r="C38" s="279"/>
      <c r="D38" s="2888"/>
      <c r="E38" s="2889"/>
      <c r="F38" s="270"/>
      <c r="G38" s="270"/>
      <c r="H38" s="271" t="str">
        <f t="shared" si="2"/>
        <v/>
      </c>
      <c r="I38" s="272" t="str">
        <f t="shared" si="0"/>
        <v/>
      </c>
      <c r="J38" s="273">
        <f t="shared" si="3"/>
        <v>0</v>
      </c>
      <c r="K38" s="280">
        <f t="shared" si="1"/>
        <v>0</v>
      </c>
      <c r="L38" s="275"/>
      <c r="O38" s="276"/>
      <c r="X38" s="277"/>
      <c r="Y38" s="267"/>
      <c r="Z38" s="267"/>
      <c r="AA38" s="266"/>
      <c r="AB38" s="266"/>
      <c r="AC38" s="266"/>
    </row>
    <row r="39" spans="2:29" s="268" customFormat="1" ht="12.75" x14ac:dyDescent="0.2">
      <c r="B39" s="1411" t="s">
        <v>745</v>
      </c>
      <c r="C39" s="279"/>
      <c r="D39" s="2888"/>
      <c r="E39" s="2889"/>
      <c r="F39" s="270"/>
      <c r="G39" s="270"/>
      <c r="H39" s="271" t="str">
        <f t="shared" si="2"/>
        <v/>
      </c>
      <c r="I39" s="272" t="str">
        <f t="shared" si="0"/>
        <v/>
      </c>
      <c r="J39" s="273">
        <f t="shared" si="3"/>
        <v>0</v>
      </c>
      <c r="K39" s="280">
        <f t="shared" si="1"/>
        <v>0</v>
      </c>
      <c r="L39" s="281"/>
      <c r="O39" s="276"/>
      <c r="X39" s="277"/>
      <c r="Y39" s="267"/>
      <c r="Z39" s="267"/>
      <c r="AA39" s="266"/>
      <c r="AB39" s="266"/>
      <c r="AC39" s="266"/>
    </row>
    <row r="40" spans="2:29" s="268" customFormat="1" ht="12.75" x14ac:dyDescent="0.2">
      <c r="B40" s="1411" t="s">
        <v>746</v>
      </c>
      <c r="C40" s="279"/>
      <c r="D40" s="2888"/>
      <c r="E40" s="2889"/>
      <c r="F40" s="270"/>
      <c r="G40" s="270"/>
      <c r="H40" s="271" t="str">
        <f t="shared" si="2"/>
        <v/>
      </c>
      <c r="I40" s="272" t="str">
        <f t="shared" si="0"/>
        <v/>
      </c>
      <c r="J40" s="273">
        <f t="shared" si="3"/>
        <v>0</v>
      </c>
      <c r="K40" s="280">
        <f t="shared" si="1"/>
        <v>0</v>
      </c>
      <c r="L40" s="275"/>
      <c r="O40" s="276"/>
      <c r="X40" s="277"/>
      <c r="Y40" s="267"/>
      <c r="Z40" s="267"/>
      <c r="AA40" s="266"/>
      <c r="AB40" s="266"/>
      <c r="AC40" s="266"/>
    </row>
    <row r="41" spans="2:29" s="268" customFormat="1" ht="12.75" x14ac:dyDescent="0.2">
      <c r="B41" s="1411" t="s">
        <v>747</v>
      </c>
      <c r="C41" s="279"/>
      <c r="D41" s="2888"/>
      <c r="E41" s="2889"/>
      <c r="F41" s="270"/>
      <c r="G41" s="270"/>
      <c r="H41" s="271" t="str">
        <f t="shared" si="2"/>
        <v/>
      </c>
      <c r="I41" s="272" t="str">
        <f t="shared" si="0"/>
        <v/>
      </c>
      <c r="J41" s="273">
        <f t="shared" si="3"/>
        <v>0</v>
      </c>
      <c r="K41" s="280">
        <f t="shared" si="1"/>
        <v>0</v>
      </c>
      <c r="L41" s="275"/>
      <c r="O41" s="276"/>
      <c r="X41" s="277"/>
      <c r="Y41" s="267"/>
      <c r="Z41" s="267"/>
      <c r="AA41" s="266"/>
      <c r="AB41" s="266"/>
      <c r="AC41" s="266"/>
    </row>
    <row r="42" spans="2:29" s="268" customFormat="1" ht="12.75" x14ac:dyDescent="0.2">
      <c r="B42" s="1411" t="s">
        <v>748</v>
      </c>
      <c r="C42" s="279"/>
      <c r="D42" s="2888"/>
      <c r="E42" s="2889"/>
      <c r="F42" s="270"/>
      <c r="G42" s="270"/>
      <c r="H42" s="271" t="str">
        <f t="shared" si="2"/>
        <v/>
      </c>
      <c r="I42" s="272" t="str">
        <f t="shared" si="0"/>
        <v/>
      </c>
      <c r="J42" s="273">
        <f t="shared" si="3"/>
        <v>0</v>
      </c>
      <c r="K42" s="280">
        <f t="shared" si="1"/>
        <v>0</v>
      </c>
      <c r="L42" s="275"/>
      <c r="O42" s="276"/>
      <c r="X42" s="277"/>
      <c r="Y42" s="267"/>
      <c r="Z42" s="267"/>
      <c r="AA42" s="266"/>
      <c r="AB42" s="266"/>
      <c r="AC42" s="266"/>
    </row>
    <row r="43" spans="2:29" s="268" customFormat="1" ht="12.75" x14ac:dyDescent="0.2">
      <c r="B43" s="1411" t="s">
        <v>749</v>
      </c>
      <c r="C43" s="279"/>
      <c r="D43" s="2888"/>
      <c r="E43" s="2889"/>
      <c r="F43" s="270"/>
      <c r="G43" s="270"/>
      <c r="H43" s="271" t="str">
        <f t="shared" si="2"/>
        <v/>
      </c>
      <c r="I43" s="272" t="str">
        <f t="shared" si="0"/>
        <v/>
      </c>
      <c r="J43" s="273">
        <f t="shared" si="3"/>
        <v>0</v>
      </c>
      <c r="K43" s="280">
        <f t="shared" si="1"/>
        <v>0</v>
      </c>
      <c r="L43" s="275"/>
      <c r="O43" s="276"/>
      <c r="X43" s="277"/>
      <c r="Y43" s="267"/>
      <c r="Z43" s="267"/>
      <c r="AA43" s="266"/>
      <c r="AB43" s="266"/>
      <c r="AC43" s="266"/>
    </row>
    <row r="44" spans="2:29" s="268" customFormat="1" ht="12.75" x14ac:dyDescent="0.2">
      <c r="B44" s="1411" t="s">
        <v>750</v>
      </c>
      <c r="C44" s="279"/>
      <c r="D44" s="2888"/>
      <c r="E44" s="2889"/>
      <c r="F44" s="270"/>
      <c r="G44" s="270"/>
      <c r="H44" s="271" t="str">
        <f t="shared" si="2"/>
        <v/>
      </c>
      <c r="I44" s="272" t="str">
        <f t="shared" si="0"/>
        <v/>
      </c>
      <c r="J44" s="273">
        <f t="shared" si="3"/>
        <v>0</v>
      </c>
      <c r="K44" s="280">
        <f t="shared" si="1"/>
        <v>0</v>
      </c>
      <c r="L44" s="275"/>
      <c r="O44" s="276"/>
      <c r="X44" s="277"/>
      <c r="Y44" s="267"/>
      <c r="Z44" s="267"/>
      <c r="AA44" s="266"/>
      <c r="AB44" s="266"/>
      <c r="AC44" s="266"/>
    </row>
    <row r="45" spans="2:29" s="268" customFormat="1" ht="12.75" x14ac:dyDescent="0.2">
      <c r="B45" s="1411" t="s">
        <v>751</v>
      </c>
      <c r="C45" s="279"/>
      <c r="D45" s="2888"/>
      <c r="E45" s="2889"/>
      <c r="F45" s="270"/>
      <c r="G45" s="270"/>
      <c r="H45" s="271" t="str">
        <f t="shared" si="2"/>
        <v/>
      </c>
      <c r="I45" s="272" t="str">
        <f t="shared" si="0"/>
        <v/>
      </c>
      <c r="J45" s="273">
        <f t="shared" si="3"/>
        <v>0</v>
      </c>
      <c r="K45" s="280">
        <f t="shared" si="1"/>
        <v>0</v>
      </c>
      <c r="L45" s="275"/>
      <c r="O45" s="276"/>
      <c r="X45" s="277"/>
      <c r="Y45" s="267"/>
      <c r="Z45" s="267"/>
      <c r="AA45" s="266"/>
      <c r="AB45" s="266"/>
      <c r="AC45" s="266"/>
    </row>
    <row r="46" spans="2:29" s="268" customFormat="1" ht="12.75" x14ac:dyDescent="0.2">
      <c r="B46" s="1411" t="s">
        <v>930</v>
      </c>
      <c r="C46" s="270"/>
      <c r="D46" s="2888"/>
      <c r="E46" s="2889"/>
      <c r="F46" s="270"/>
      <c r="G46" s="270"/>
      <c r="H46" s="271" t="str">
        <f t="shared" si="2"/>
        <v/>
      </c>
      <c r="I46" s="272" t="str">
        <f t="shared" si="0"/>
        <v/>
      </c>
      <c r="J46" s="273">
        <f t="shared" si="3"/>
        <v>0</v>
      </c>
      <c r="K46" s="274">
        <f t="shared" si="1"/>
        <v>0</v>
      </c>
      <c r="L46" s="275"/>
      <c r="O46" s="276"/>
      <c r="X46" s="277"/>
      <c r="Y46" s="267"/>
      <c r="Z46" s="267"/>
      <c r="AA46" s="266"/>
      <c r="AB46" s="266"/>
      <c r="AC46" s="266"/>
    </row>
    <row r="47" spans="2:29" s="268" customFormat="1" ht="12.75" x14ac:dyDescent="0.2">
      <c r="B47" s="1411" t="s">
        <v>931</v>
      </c>
      <c r="C47" s="279"/>
      <c r="D47" s="2888"/>
      <c r="E47" s="2889"/>
      <c r="F47" s="270"/>
      <c r="G47" s="270"/>
      <c r="H47" s="271" t="str">
        <f t="shared" si="2"/>
        <v/>
      </c>
      <c r="I47" s="272" t="str">
        <f t="shared" si="0"/>
        <v/>
      </c>
      <c r="J47" s="273">
        <f t="shared" si="3"/>
        <v>0</v>
      </c>
      <c r="K47" s="280">
        <f t="shared" si="1"/>
        <v>0</v>
      </c>
      <c r="L47" s="275"/>
      <c r="O47" s="276"/>
      <c r="X47" s="277"/>
      <c r="Y47" s="267"/>
      <c r="Z47" s="267"/>
      <c r="AA47" s="266"/>
      <c r="AB47" s="266"/>
      <c r="AC47" s="266"/>
    </row>
    <row r="48" spans="2:29" s="268" customFormat="1" ht="12.75" x14ac:dyDescent="0.2">
      <c r="B48" s="1411" t="s">
        <v>932</v>
      </c>
      <c r="C48" s="279"/>
      <c r="D48" s="2888"/>
      <c r="E48" s="2889"/>
      <c r="F48" s="270"/>
      <c r="G48" s="270"/>
      <c r="H48" s="271" t="str">
        <f t="shared" si="2"/>
        <v/>
      </c>
      <c r="I48" s="272" t="str">
        <f t="shared" si="0"/>
        <v/>
      </c>
      <c r="J48" s="273">
        <f t="shared" si="3"/>
        <v>0</v>
      </c>
      <c r="K48" s="280">
        <f t="shared" si="1"/>
        <v>0</v>
      </c>
      <c r="L48" s="275"/>
      <c r="O48" s="276"/>
      <c r="X48" s="277"/>
      <c r="Y48" s="267"/>
      <c r="Z48" s="267"/>
      <c r="AA48" s="266"/>
      <c r="AB48" s="266"/>
      <c r="AC48" s="266"/>
    </row>
    <row r="49" spans="2:29" s="268" customFormat="1" ht="12.75" x14ac:dyDescent="0.2">
      <c r="B49" s="1411" t="s">
        <v>933</v>
      </c>
      <c r="C49" s="279"/>
      <c r="D49" s="2888"/>
      <c r="E49" s="2889"/>
      <c r="F49" s="270"/>
      <c r="G49" s="270"/>
      <c r="H49" s="271" t="str">
        <f t="shared" si="2"/>
        <v/>
      </c>
      <c r="I49" s="272" t="str">
        <f t="shared" si="0"/>
        <v/>
      </c>
      <c r="J49" s="273">
        <f t="shared" si="3"/>
        <v>0</v>
      </c>
      <c r="K49" s="280">
        <f t="shared" si="1"/>
        <v>0</v>
      </c>
      <c r="L49" s="281"/>
      <c r="O49" s="276"/>
      <c r="X49" s="277"/>
      <c r="Y49" s="267"/>
      <c r="Z49" s="267"/>
      <c r="AA49" s="266"/>
      <c r="AB49" s="266"/>
      <c r="AC49" s="266"/>
    </row>
    <row r="50" spans="2:29" s="268" customFormat="1" ht="12.75" x14ac:dyDescent="0.2">
      <c r="B50" s="1411" t="s">
        <v>934</v>
      </c>
      <c r="C50" s="279"/>
      <c r="D50" s="2888"/>
      <c r="E50" s="2889"/>
      <c r="F50" s="270"/>
      <c r="G50" s="270"/>
      <c r="H50" s="271" t="str">
        <f t="shared" si="2"/>
        <v/>
      </c>
      <c r="I50" s="272" t="str">
        <f t="shared" si="0"/>
        <v/>
      </c>
      <c r="J50" s="273">
        <f t="shared" si="3"/>
        <v>0</v>
      </c>
      <c r="K50" s="280">
        <f t="shared" si="1"/>
        <v>0</v>
      </c>
      <c r="L50" s="275"/>
      <c r="O50" s="276"/>
      <c r="X50" s="277"/>
      <c r="Y50" s="267"/>
      <c r="Z50" s="267"/>
      <c r="AA50" s="266"/>
      <c r="AB50" s="266"/>
      <c r="AC50" s="266"/>
    </row>
    <row r="51" spans="2:29" s="268" customFormat="1" ht="12.75" x14ac:dyDescent="0.2">
      <c r="B51" s="1411" t="s">
        <v>935</v>
      </c>
      <c r="C51" s="279"/>
      <c r="D51" s="2888"/>
      <c r="E51" s="2889"/>
      <c r="F51" s="270"/>
      <c r="G51" s="270"/>
      <c r="H51" s="271" t="str">
        <f t="shared" si="2"/>
        <v/>
      </c>
      <c r="I51" s="272" t="str">
        <f t="shared" si="0"/>
        <v/>
      </c>
      <c r="J51" s="273">
        <f t="shared" si="3"/>
        <v>0</v>
      </c>
      <c r="K51" s="280">
        <f t="shared" si="1"/>
        <v>0</v>
      </c>
      <c r="L51" s="275"/>
      <c r="O51" s="276"/>
      <c r="X51" s="277"/>
      <c r="Y51" s="267"/>
      <c r="Z51" s="267"/>
      <c r="AA51" s="266"/>
      <c r="AB51" s="266"/>
      <c r="AC51" s="266"/>
    </row>
    <row r="52" spans="2:29" s="268" customFormat="1" ht="12.75" x14ac:dyDescent="0.2">
      <c r="B52" s="1411" t="s">
        <v>936</v>
      </c>
      <c r="C52" s="279"/>
      <c r="D52" s="2888"/>
      <c r="E52" s="2889"/>
      <c r="F52" s="270"/>
      <c r="G52" s="270"/>
      <c r="H52" s="271" t="str">
        <f t="shared" si="2"/>
        <v/>
      </c>
      <c r="I52" s="272" t="str">
        <f t="shared" si="0"/>
        <v/>
      </c>
      <c r="J52" s="273">
        <f t="shared" si="3"/>
        <v>0</v>
      </c>
      <c r="K52" s="280">
        <f t="shared" si="1"/>
        <v>0</v>
      </c>
      <c r="L52" s="275"/>
      <c r="O52" s="276"/>
      <c r="X52" s="277"/>
      <c r="Y52" s="267"/>
      <c r="Z52" s="267"/>
      <c r="AA52" s="266"/>
      <c r="AB52" s="266"/>
      <c r="AC52" s="266"/>
    </row>
    <row r="53" spans="2:29" s="268" customFormat="1" ht="12.75" x14ac:dyDescent="0.2">
      <c r="B53" s="1411" t="s">
        <v>937</v>
      </c>
      <c r="C53" s="279"/>
      <c r="D53" s="2888"/>
      <c r="E53" s="2889"/>
      <c r="F53" s="270"/>
      <c r="G53" s="270"/>
      <c r="H53" s="271" t="str">
        <f t="shared" si="2"/>
        <v/>
      </c>
      <c r="I53" s="272" t="str">
        <f t="shared" si="0"/>
        <v/>
      </c>
      <c r="J53" s="273">
        <f t="shared" si="3"/>
        <v>0</v>
      </c>
      <c r="K53" s="280">
        <f t="shared" si="1"/>
        <v>0</v>
      </c>
      <c r="L53" s="275"/>
      <c r="O53" s="276"/>
      <c r="X53" s="277"/>
      <c r="Y53" s="267"/>
      <c r="Z53" s="267"/>
      <c r="AA53" s="266"/>
      <c r="AB53" s="266"/>
      <c r="AC53" s="266"/>
    </row>
    <row r="54" spans="2:29" s="268" customFormat="1" ht="12.75" x14ac:dyDescent="0.2">
      <c r="B54" s="1411" t="s">
        <v>938</v>
      </c>
      <c r="C54" s="279"/>
      <c r="D54" s="2888"/>
      <c r="E54" s="2889"/>
      <c r="F54" s="270"/>
      <c r="G54" s="270"/>
      <c r="H54" s="271" t="str">
        <f t="shared" si="2"/>
        <v/>
      </c>
      <c r="I54" s="272" t="str">
        <f t="shared" si="0"/>
        <v/>
      </c>
      <c r="J54" s="273">
        <f t="shared" si="3"/>
        <v>0</v>
      </c>
      <c r="K54" s="280">
        <f t="shared" si="1"/>
        <v>0</v>
      </c>
      <c r="L54" s="275"/>
      <c r="O54" s="276"/>
      <c r="X54" s="277"/>
      <c r="Y54" s="267"/>
      <c r="Z54" s="267"/>
      <c r="AA54" s="266"/>
      <c r="AB54" s="266"/>
      <c r="AC54" s="266"/>
    </row>
    <row r="55" spans="2:29" s="268" customFormat="1" ht="12.75" x14ac:dyDescent="0.2">
      <c r="B55" s="1453" t="s">
        <v>939</v>
      </c>
      <c r="C55" s="1454"/>
      <c r="D55" s="2890"/>
      <c r="E55" s="2892"/>
      <c r="F55" s="1454"/>
      <c r="G55" s="1454"/>
      <c r="H55" s="1455" t="str">
        <f t="shared" si="2"/>
        <v/>
      </c>
      <c r="I55" s="1456" t="str">
        <f t="shared" si="0"/>
        <v/>
      </c>
      <c r="J55" s="1457">
        <f t="shared" si="3"/>
        <v>0</v>
      </c>
      <c r="K55" s="1458">
        <f t="shared" si="1"/>
        <v>0</v>
      </c>
      <c r="L55" s="275"/>
      <c r="O55" s="276"/>
      <c r="X55" s="277"/>
      <c r="Y55" s="267"/>
      <c r="Z55" s="267"/>
      <c r="AA55" s="266"/>
      <c r="AB55" s="266"/>
      <c r="AC55" s="266"/>
    </row>
    <row r="56" spans="2:29" s="268" customFormat="1" ht="12.75" x14ac:dyDescent="0.2">
      <c r="B56" s="1459" t="s">
        <v>963</v>
      </c>
      <c r="C56" s="1460"/>
      <c r="D56" s="2896"/>
      <c r="E56" s="2897"/>
      <c r="F56" s="1460"/>
      <c r="G56" s="1460"/>
      <c r="H56" s="1461" t="str">
        <f t="shared" ref="H56:H65" si="4">IF(F56&lt;&gt;"",1,"")</f>
        <v/>
      </c>
      <c r="I56" s="1462" t="str">
        <f t="shared" ref="I56:I65" si="5">IF(AND(F56&gt;0,F56&lt;=100),IF(AND(H56&lt;&gt;"",H56&lt;&gt;0),IF(H56&lt;=3,3*H56,(3*3)+((3*0.75)*(H56-3))),3),IF(AND(F56&gt;100,F56&lt;=160),IF(AND(H56&lt;&gt;"",H56&lt;&gt;0),IF(H56&lt;=3,3.75*H56,(3.75*3)+((3.75*0.75)*(H56-3))),3.75),IF(AND(F56&gt;160,F56&lt;=220),IF(AND(H56&lt;&gt;"",H56&lt;&gt;0),IF(H56&lt;=3,4.5*H56,(4.5*3)+((4.5*0.75)*(H56-3))),4.5),IF(AND(F56&gt;221,F56&lt;=280),IF(AND(H56&lt;&gt;"",H56&lt;&gt;0),IF(H56&lt;=3,5.25*H56,(5.25*3)+((5.25*0.75)*(H56-3))),5.25),IF(AND(F56&gt;280,F56&lt;=340),IF(AND(H56&lt;&gt;"",H56&lt;&gt;0),IF(H56&lt;=3,6*H56,(6*3)+((6*0.75)*(H56-3))),6),"")))))&amp;IF(AND(F56&gt;340,F56&lt;=400),IF(AND(H56&lt;&gt;"",H56&lt;&gt;0),IF(H56&lt;=3,6.75*H56,(6.75*3)+((6.75*0.75)*(H56-3))),6.75),IF(AND(F56&gt;401,F56&lt;=460),IF(AND(H56&lt;&gt;"",H56&lt;&gt;0),IF(H56&lt;=3,7.5*H56,(7.5*3)+((7.5*0.75)*(H56-3))),7.5),IF(AND(F56&gt;460,F56&lt;=520),IF(AND(H56&lt;&gt;"",H56&lt;&gt;0),IF(H56&lt;=3,8.25*H56,(8.25*3)+((8.25*0.75)*(H56-3))),8.25),IF(F56&gt;520,IF(AND(H56&lt;&gt;"",H56&lt;&gt;0),IF(H56&lt;=3,9*H56,(9*3)+((9*0.75)*(H56-3))),9),""))))</f>
        <v/>
      </c>
      <c r="J56" s="1463">
        <f t="shared" ref="J56:J65" si="6">IF(AND(F56&lt;&gt;"",F56&lt;&gt;0),IF(AND(G56&lt;&gt;"",G56&lt;&gt;0),G56*I56,0),0)</f>
        <v>0</v>
      </c>
      <c r="K56" s="1464">
        <f t="shared" ref="K56:K65" si="7">J56/15</f>
        <v>0</v>
      </c>
      <c r="L56" s="275"/>
      <c r="O56" s="276"/>
      <c r="X56" s="277"/>
      <c r="Y56" s="267"/>
      <c r="Z56" s="267"/>
      <c r="AA56" s="266"/>
      <c r="AB56" s="266"/>
      <c r="AC56" s="266"/>
    </row>
    <row r="57" spans="2:29" s="268" customFormat="1" ht="12.75" x14ac:dyDescent="0.2">
      <c r="B57" s="1411" t="s">
        <v>964</v>
      </c>
      <c r="C57" s="279"/>
      <c r="D57" s="2888"/>
      <c r="E57" s="2889"/>
      <c r="F57" s="270"/>
      <c r="G57" s="270"/>
      <c r="H57" s="271" t="str">
        <f t="shared" si="4"/>
        <v/>
      </c>
      <c r="I57" s="272" t="str">
        <f t="shared" si="5"/>
        <v/>
      </c>
      <c r="J57" s="273">
        <f t="shared" si="6"/>
        <v>0</v>
      </c>
      <c r="K57" s="280">
        <f t="shared" si="7"/>
        <v>0</v>
      </c>
      <c r="L57" s="275"/>
      <c r="O57" s="276"/>
      <c r="X57" s="277"/>
      <c r="Y57" s="267"/>
      <c r="Z57" s="267"/>
      <c r="AA57" s="266"/>
      <c r="AB57" s="266"/>
      <c r="AC57" s="266"/>
    </row>
    <row r="58" spans="2:29" s="268" customFormat="1" ht="12.75" x14ac:dyDescent="0.2">
      <c r="B58" s="1411" t="s">
        <v>965</v>
      </c>
      <c r="C58" s="279"/>
      <c r="D58" s="2888"/>
      <c r="E58" s="2889"/>
      <c r="F58" s="270"/>
      <c r="G58" s="270"/>
      <c r="H58" s="271" t="str">
        <f t="shared" si="4"/>
        <v/>
      </c>
      <c r="I58" s="272" t="str">
        <f t="shared" si="5"/>
        <v/>
      </c>
      <c r="J58" s="273">
        <f t="shared" si="6"/>
        <v>0</v>
      </c>
      <c r="K58" s="280">
        <f t="shared" si="7"/>
        <v>0</v>
      </c>
      <c r="L58" s="275"/>
      <c r="O58" s="276"/>
      <c r="X58" s="277"/>
      <c r="Y58" s="267"/>
      <c r="Z58" s="267"/>
      <c r="AA58" s="266"/>
      <c r="AB58" s="266"/>
      <c r="AC58" s="266"/>
    </row>
    <row r="59" spans="2:29" s="268" customFormat="1" ht="12.75" x14ac:dyDescent="0.2">
      <c r="B59" s="1411" t="s">
        <v>966</v>
      </c>
      <c r="C59" s="279"/>
      <c r="D59" s="2888"/>
      <c r="E59" s="2889"/>
      <c r="F59" s="270"/>
      <c r="G59" s="270"/>
      <c r="H59" s="271" t="str">
        <f t="shared" si="4"/>
        <v/>
      </c>
      <c r="I59" s="272" t="str">
        <f t="shared" si="5"/>
        <v/>
      </c>
      <c r="J59" s="273">
        <f t="shared" si="6"/>
        <v>0</v>
      </c>
      <c r="K59" s="280">
        <f t="shared" si="7"/>
        <v>0</v>
      </c>
      <c r="L59" s="281"/>
      <c r="O59" s="276"/>
      <c r="X59" s="277"/>
      <c r="Y59" s="267"/>
      <c r="Z59" s="267"/>
      <c r="AA59" s="266"/>
      <c r="AB59" s="266"/>
      <c r="AC59" s="266"/>
    </row>
    <row r="60" spans="2:29" s="268" customFormat="1" ht="12.75" x14ac:dyDescent="0.2">
      <c r="B60" s="1411" t="s">
        <v>967</v>
      </c>
      <c r="C60" s="279"/>
      <c r="D60" s="2888"/>
      <c r="E60" s="2889"/>
      <c r="F60" s="270"/>
      <c r="G60" s="270"/>
      <c r="H60" s="271" t="str">
        <f t="shared" si="4"/>
        <v/>
      </c>
      <c r="I60" s="272" t="str">
        <f t="shared" si="5"/>
        <v/>
      </c>
      <c r="J60" s="273">
        <f t="shared" si="6"/>
        <v>0</v>
      </c>
      <c r="K60" s="280">
        <f t="shared" si="7"/>
        <v>0</v>
      </c>
      <c r="L60" s="275"/>
      <c r="O60" s="276"/>
      <c r="X60" s="277"/>
      <c r="Y60" s="267"/>
      <c r="Z60" s="267"/>
      <c r="AA60" s="266"/>
      <c r="AB60" s="266"/>
      <c r="AC60" s="266"/>
    </row>
    <row r="61" spans="2:29" s="268" customFormat="1" ht="12.75" x14ac:dyDescent="0.2">
      <c r="B61" s="1411" t="s">
        <v>968</v>
      </c>
      <c r="C61" s="279"/>
      <c r="D61" s="2888"/>
      <c r="E61" s="2889"/>
      <c r="F61" s="270"/>
      <c r="G61" s="270"/>
      <c r="H61" s="271" t="str">
        <f t="shared" si="4"/>
        <v/>
      </c>
      <c r="I61" s="272" t="str">
        <f t="shared" si="5"/>
        <v/>
      </c>
      <c r="J61" s="273">
        <f t="shared" si="6"/>
        <v>0</v>
      </c>
      <c r="K61" s="280">
        <f t="shared" si="7"/>
        <v>0</v>
      </c>
      <c r="L61" s="275"/>
      <c r="O61" s="276"/>
      <c r="X61" s="277"/>
      <c r="Y61" s="267"/>
      <c r="Z61" s="267"/>
      <c r="AA61" s="266"/>
      <c r="AB61" s="266"/>
      <c r="AC61" s="266"/>
    </row>
    <row r="62" spans="2:29" s="268" customFormat="1" ht="12.75" x14ac:dyDescent="0.2">
      <c r="B62" s="1411" t="s">
        <v>969</v>
      </c>
      <c r="C62" s="279"/>
      <c r="D62" s="2888"/>
      <c r="E62" s="2889"/>
      <c r="F62" s="270"/>
      <c r="G62" s="270"/>
      <c r="H62" s="271" t="str">
        <f t="shared" si="4"/>
        <v/>
      </c>
      <c r="I62" s="272" t="str">
        <f t="shared" si="5"/>
        <v/>
      </c>
      <c r="J62" s="273">
        <f t="shared" si="6"/>
        <v>0</v>
      </c>
      <c r="K62" s="280">
        <f t="shared" si="7"/>
        <v>0</v>
      </c>
      <c r="L62" s="275"/>
      <c r="O62" s="276"/>
      <c r="X62" s="277"/>
      <c r="Y62" s="267"/>
      <c r="Z62" s="267"/>
      <c r="AA62" s="266"/>
      <c r="AB62" s="266"/>
      <c r="AC62" s="266"/>
    </row>
    <row r="63" spans="2:29" s="268" customFormat="1" ht="12.75" x14ac:dyDescent="0.2">
      <c r="B63" s="1411" t="s">
        <v>970</v>
      </c>
      <c r="C63" s="279"/>
      <c r="D63" s="2888"/>
      <c r="E63" s="2889"/>
      <c r="F63" s="270"/>
      <c r="G63" s="270"/>
      <c r="H63" s="271" t="str">
        <f t="shared" si="4"/>
        <v/>
      </c>
      <c r="I63" s="272" t="str">
        <f t="shared" si="5"/>
        <v/>
      </c>
      <c r="J63" s="273">
        <f t="shared" si="6"/>
        <v>0</v>
      </c>
      <c r="K63" s="280">
        <f t="shared" si="7"/>
        <v>0</v>
      </c>
      <c r="L63" s="275"/>
      <c r="O63" s="276"/>
      <c r="X63" s="277"/>
      <c r="Y63" s="267"/>
      <c r="Z63" s="267"/>
      <c r="AA63" s="266"/>
      <c r="AB63" s="266"/>
      <c r="AC63" s="266"/>
    </row>
    <row r="64" spans="2:29" s="268" customFormat="1" ht="12.75" x14ac:dyDescent="0.2">
      <c r="B64" s="1411" t="s">
        <v>971</v>
      </c>
      <c r="C64" s="279"/>
      <c r="D64" s="2888"/>
      <c r="E64" s="2889"/>
      <c r="F64" s="270"/>
      <c r="G64" s="270"/>
      <c r="H64" s="271" t="str">
        <f t="shared" si="4"/>
        <v/>
      </c>
      <c r="I64" s="272" t="str">
        <f t="shared" si="5"/>
        <v/>
      </c>
      <c r="J64" s="273">
        <f t="shared" si="6"/>
        <v>0</v>
      </c>
      <c r="K64" s="280">
        <f t="shared" si="7"/>
        <v>0</v>
      </c>
      <c r="L64" s="275"/>
      <c r="O64" s="276"/>
      <c r="X64" s="277"/>
      <c r="Y64" s="267"/>
      <c r="Z64" s="267"/>
      <c r="AA64" s="266"/>
      <c r="AB64" s="266"/>
      <c r="AC64" s="266"/>
    </row>
    <row r="65" spans="2:29" s="268" customFormat="1" ht="12.75" x14ac:dyDescent="0.2">
      <c r="B65" s="1411" t="s">
        <v>973</v>
      </c>
      <c r="C65" s="279"/>
      <c r="D65" s="2888"/>
      <c r="E65" s="2889"/>
      <c r="F65" s="270"/>
      <c r="G65" s="270"/>
      <c r="H65" s="271" t="str">
        <f t="shared" si="4"/>
        <v/>
      </c>
      <c r="I65" s="272" t="str">
        <f t="shared" si="5"/>
        <v/>
      </c>
      <c r="J65" s="273">
        <f t="shared" si="6"/>
        <v>0</v>
      </c>
      <c r="K65" s="280">
        <f t="shared" si="7"/>
        <v>0</v>
      </c>
      <c r="L65" s="275"/>
      <c r="O65" s="276"/>
      <c r="X65" s="277"/>
      <c r="Y65" s="267"/>
      <c r="Z65" s="267"/>
      <c r="AA65" s="266"/>
      <c r="AB65" s="266"/>
      <c r="AC65" s="266"/>
    </row>
    <row r="66" spans="2:29" s="293" customFormat="1" ht="21" customHeight="1" x14ac:dyDescent="0.2">
      <c r="B66" s="282"/>
      <c r="C66" s="283"/>
      <c r="D66" s="284"/>
      <c r="E66" s="285"/>
      <c r="F66" s="286"/>
      <c r="G66" s="287"/>
      <c r="H66" s="288"/>
      <c r="I66" s="289" t="s">
        <v>283</v>
      </c>
      <c r="J66" s="290">
        <f>SUM(J26:J65)</f>
        <v>0</v>
      </c>
      <c r="K66" s="291">
        <f>SUM(K26:K65)</f>
        <v>0</v>
      </c>
      <c r="L66" s="292"/>
      <c r="X66" s="294"/>
      <c r="Y66" s="294"/>
      <c r="Z66" s="294"/>
      <c r="AA66" s="294"/>
      <c r="AB66" s="294"/>
    </row>
    <row r="67" spans="2:29" s="214" customFormat="1" ht="21" customHeight="1" x14ac:dyDescent="0.2">
      <c r="B67" s="295"/>
      <c r="C67" s="296" t="s">
        <v>482</v>
      </c>
      <c r="D67" s="297"/>
      <c r="E67" s="298"/>
      <c r="F67" s="234" t="s">
        <v>437</v>
      </c>
      <c r="G67" s="299"/>
      <c r="H67" s="299"/>
      <c r="I67" s="299"/>
      <c r="J67" s="300"/>
      <c r="K67" s="301"/>
      <c r="L67" s="237"/>
      <c r="X67" s="222"/>
      <c r="Y67" s="222"/>
      <c r="Z67" s="222"/>
    </row>
    <row r="68" spans="2:29" ht="14.25" customHeight="1" x14ac:dyDescent="0.2">
      <c r="B68" s="238"/>
      <c r="C68" s="239" t="s">
        <v>438</v>
      </c>
      <c r="D68" s="2937" t="s">
        <v>439</v>
      </c>
      <c r="E68" s="2938"/>
      <c r="F68" s="2939"/>
      <c r="G68" s="240" t="s">
        <v>440</v>
      </c>
      <c r="H68" s="242" t="s">
        <v>280</v>
      </c>
      <c r="I68" s="243" t="s">
        <v>442</v>
      </c>
      <c r="J68" s="243" t="s">
        <v>443</v>
      </c>
      <c r="K68" s="244" t="s">
        <v>443</v>
      </c>
      <c r="L68" s="245"/>
    </row>
    <row r="69" spans="2:29" x14ac:dyDescent="0.2">
      <c r="B69" s="302"/>
      <c r="C69" s="303"/>
      <c r="D69" s="2901" t="s">
        <v>972</v>
      </c>
      <c r="E69" s="2902"/>
      <c r="F69" s="2903"/>
      <c r="G69" s="304" t="s">
        <v>445</v>
      </c>
      <c r="H69" s="305" t="s">
        <v>447</v>
      </c>
      <c r="I69" s="251" t="s">
        <v>448</v>
      </c>
      <c r="J69" s="251" t="s">
        <v>445</v>
      </c>
      <c r="K69" s="244" t="s">
        <v>315</v>
      </c>
      <c r="L69" s="252"/>
    </row>
    <row r="70" spans="2:29" x14ac:dyDescent="0.2">
      <c r="B70" s="253"/>
      <c r="C70" s="306"/>
      <c r="D70" s="2898" t="s">
        <v>1017</v>
      </c>
      <c r="E70" s="2899"/>
      <c r="F70" s="2900"/>
      <c r="G70" s="255"/>
      <c r="H70" s="257"/>
      <c r="I70" s="258"/>
      <c r="J70" s="258"/>
      <c r="K70" s="259"/>
      <c r="L70" s="260"/>
    </row>
    <row r="71" spans="2:29" s="261" customFormat="1" x14ac:dyDescent="0.2">
      <c r="B71" s="262" t="s">
        <v>450</v>
      </c>
      <c r="C71" s="308" t="s">
        <v>451</v>
      </c>
      <c r="D71" s="2961" t="s">
        <v>940</v>
      </c>
      <c r="E71" s="2962"/>
      <c r="F71" s="2963"/>
      <c r="G71" s="264">
        <v>30</v>
      </c>
      <c r="H71" s="264">
        <v>1</v>
      </c>
      <c r="I71" s="309">
        <f t="shared" ref="I71:I101" si="8">IF(AND(H71&lt;&gt;"",H71&lt;&gt;0),IF(H71&lt;=3,1.7*H71,(1.7*3)+((1.7*0.75)*(H71-3))),1.7)</f>
        <v>1.7</v>
      </c>
      <c r="J71" s="309">
        <f t="shared" ref="J71:J101" si="9">IF(AND(H71&lt;&gt;"",H71&lt;&gt;0),IF(X71&gt;="5",H71*G71*I71,G71*I71),0)</f>
        <v>51</v>
      </c>
      <c r="K71" s="310">
        <f t="shared" ref="K71:K101" si="10">J71/15</f>
        <v>3.4</v>
      </c>
      <c r="L71" s="265"/>
      <c r="Q71" s="266"/>
      <c r="R71" s="266"/>
      <c r="S71" s="266"/>
      <c r="T71" s="266"/>
      <c r="U71" s="266"/>
      <c r="V71" s="266"/>
      <c r="W71" s="266"/>
      <c r="X71" s="267"/>
      <c r="Y71" s="267"/>
      <c r="Z71" s="267"/>
      <c r="AA71" s="266"/>
      <c r="AB71" s="266"/>
      <c r="AC71" s="266"/>
    </row>
    <row r="72" spans="2:29" s="268" customFormat="1" ht="12.75" x14ac:dyDescent="0.2">
      <c r="B72" s="278" t="s">
        <v>452</v>
      </c>
      <c r="C72" s="1477"/>
      <c r="D72" s="2904"/>
      <c r="E72" s="2893"/>
      <c r="F72" s="2889"/>
      <c r="G72" s="270"/>
      <c r="H72" s="311" t="str">
        <f>IF(G72&lt;&gt;"",1,"")</f>
        <v/>
      </c>
      <c r="I72" s="272">
        <f t="shared" si="8"/>
        <v>1.7</v>
      </c>
      <c r="J72" s="272">
        <f t="shared" si="9"/>
        <v>0</v>
      </c>
      <c r="K72" s="312">
        <f t="shared" si="10"/>
        <v>0</v>
      </c>
      <c r="L72" s="275"/>
      <c r="X72" s="277"/>
      <c r="Y72" s="267"/>
      <c r="Z72" s="267"/>
      <c r="AA72" s="266"/>
      <c r="AB72" s="266"/>
      <c r="AC72" s="266"/>
    </row>
    <row r="73" spans="2:29" s="268" customFormat="1" ht="12.75" x14ac:dyDescent="0.2">
      <c r="B73" s="278" t="s">
        <v>453</v>
      </c>
      <c r="C73" s="279"/>
      <c r="D73" s="2888"/>
      <c r="E73" s="2893"/>
      <c r="F73" s="2889"/>
      <c r="G73" s="270"/>
      <c r="H73" s="311" t="str">
        <f t="shared" ref="H73:H91" si="11">IF(G73&lt;&gt;"",1,"")</f>
        <v/>
      </c>
      <c r="I73" s="272">
        <f t="shared" si="8"/>
        <v>1.7</v>
      </c>
      <c r="J73" s="272">
        <f t="shared" si="9"/>
        <v>0</v>
      </c>
      <c r="K73" s="312">
        <f t="shared" si="10"/>
        <v>0</v>
      </c>
      <c r="L73" s="275"/>
      <c r="X73" s="277"/>
      <c r="Y73" s="267"/>
      <c r="Z73" s="267"/>
      <c r="AA73" s="266"/>
      <c r="AB73" s="266"/>
      <c r="AC73" s="266"/>
    </row>
    <row r="74" spans="2:29" s="268" customFormat="1" ht="12.75" x14ac:dyDescent="0.2">
      <c r="B74" s="278" t="s">
        <v>454</v>
      </c>
      <c r="C74" s="279"/>
      <c r="D74" s="2888"/>
      <c r="E74" s="2893"/>
      <c r="F74" s="2889"/>
      <c r="G74" s="270"/>
      <c r="H74" s="311" t="str">
        <f t="shared" si="11"/>
        <v/>
      </c>
      <c r="I74" s="272">
        <f t="shared" si="8"/>
        <v>1.7</v>
      </c>
      <c r="J74" s="272">
        <f t="shared" si="9"/>
        <v>0</v>
      </c>
      <c r="K74" s="312">
        <f t="shared" si="10"/>
        <v>0</v>
      </c>
      <c r="L74" s="275"/>
      <c r="X74" s="277"/>
      <c r="Y74" s="267"/>
      <c r="Z74" s="267"/>
      <c r="AA74" s="266"/>
      <c r="AB74" s="266"/>
      <c r="AC74" s="266"/>
    </row>
    <row r="75" spans="2:29" s="268" customFormat="1" ht="12.75" x14ac:dyDescent="0.2">
      <c r="B75" s="278" t="s">
        <v>455</v>
      </c>
      <c r="C75" s="279"/>
      <c r="D75" s="2888"/>
      <c r="E75" s="2893"/>
      <c r="F75" s="2889"/>
      <c r="G75" s="270"/>
      <c r="H75" s="311" t="str">
        <f t="shared" si="11"/>
        <v/>
      </c>
      <c r="I75" s="272">
        <f t="shared" si="8"/>
        <v>1.7</v>
      </c>
      <c r="J75" s="272">
        <f t="shared" si="9"/>
        <v>0</v>
      </c>
      <c r="K75" s="312">
        <f t="shared" si="10"/>
        <v>0</v>
      </c>
      <c r="L75" s="281"/>
      <c r="X75" s="277"/>
      <c r="Y75" s="267"/>
      <c r="Z75" s="267"/>
      <c r="AA75" s="266"/>
      <c r="AB75" s="266"/>
      <c r="AC75" s="266"/>
    </row>
    <row r="76" spans="2:29" s="268" customFormat="1" ht="12.75" x14ac:dyDescent="0.2">
      <c r="B76" s="278" t="s">
        <v>456</v>
      </c>
      <c r="C76" s="279"/>
      <c r="D76" s="2888"/>
      <c r="E76" s="2893"/>
      <c r="F76" s="2889"/>
      <c r="G76" s="270"/>
      <c r="H76" s="311" t="str">
        <f t="shared" si="11"/>
        <v/>
      </c>
      <c r="I76" s="272">
        <f t="shared" si="8"/>
        <v>1.7</v>
      </c>
      <c r="J76" s="272">
        <f t="shared" si="9"/>
        <v>0</v>
      </c>
      <c r="K76" s="312">
        <f t="shared" si="10"/>
        <v>0</v>
      </c>
      <c r="L76" s="275"/>
      <c r="X76" s="277"/>
      <c r="Y76" s="267"/>
      <c r="Z76" s="267"/>
      <c r="AA76" s="266"/>
      <c r="AB76" s="266"/>
      <c r="AC76" s="266"/>
    </row>
    <row r="77" spans="2:29" s="268" customFormat="1" ht="12.75" x14ac:dyDescent="0.2">
      <c r="B77" s="278" t="s">
        <v>457</v>
      </c>
      <c r="C77" s="279"/>
      <c r="D77" s="2888"/>
      <c r="E77" s="2893"/>
      <c r="F77" s="2889"/>
      <c r="G77" s="270"/>
      <c r="H77" s="311" t="str">
        <f t="shared" si="11"/>
        <v/>
      </c>
      <c r="I77" s="272">
        <f t="shared" si="8"/>
        <v>1.7</v>
      </c>
      <c r="J77" s="272">
        <f t="shared" si="9"/>
        <v>0</v>
      </c>
      <c r="K77" s="312">
        <f t="shared" si="10"/>
        <v>0</v>
      </c>
      <c r="L77" s="275"/>
      <c r="X77" s="277"/>
      <c r="Y77" s="267"/>
      <c r="Z77" s="267"/>
      <c r="AA77" s="266"/>
      <c r="AB77" s="266"/>
      <c r="AC77" s="266"/>
    </row>
    <row r="78" spans="2:29" s="268" customFormat="1" ht="12.75" x14ac:dyDescent="0.2">
      <c r="B78" s="278" t="s">
        <v>458</v>
      </c>
      <c r="C78" s="279"/>
      <c r="D78" s="2888"/>
      <c r="E78" s="2893"/>
      <c r="F78" s="2889"/>
      <c r="G78" s="270"/>
      <c r="H78" s="311" t="str">
        <f t="shared" si="11"/>
        <v/>
      </c>
      <c r="I78" s="272">
        <f t="shared" si="8"/>
        <v>1.7</v>
      </c>
      <c r="J78" s="272">
        <f t="shared" si="9"/>
        <v>0</v>
      </c>
      <c r="K78" s="312">
        <f t="shared" si="10"/>
        <v>0</v>
      </c>
      <c r="L78" s="275"/>
      <c r="X78" s="277"/>
      <c r="Y78" s="267"/>
      <c r="Z78" s="267"/>
      <c r="AA78" s="266"/>
      <c r="AB78" s="266"/>
      <c r="AC78" s="266"/>
    </row>
    <row r="79" spans="2:29" s="268" customFormat="1" ht="12.75" x14ac:dyDescent="0.2">
      <c r="B79" s="278" t="s">
        <v>459</v>
      </c>
      <c r="C79" s="279"/>
      <c r="D79" s="2888"/>
      <c r="E79" s="2893"/>
      <c r="F79" s="2889"/>
      <c r="G79" s="270"/>
      <c r="H79" s="311" t="str">
        <f t="shared" si="11"/>
        <v/>
      </c>
      <c r="I79" s="272">
        <f t="shared" si="8"/>
        <v>1.7</v>
      </c>
      <c r="J79" s="272">
        <f t="shared" si="9"/>
        <v>0</v>
      </c>
      <c r="K79" s="312">
        <f t="shared" si="10"/>
        <v>0</v>
      </c>
      <c r="L79" s="275"/>
      <c r="X79" s="277"/>
      <c r="Y79" s="267"/>
      <c r="Z79" s="267"/>
      <c r="AA79" s="266"/>
      <c r="AB79" s="266"/>
      <c r="AC79" s="266"/>
    </row>
    <row r="80" spans="2:29" s="268" customFormat="1" ht="12.75" x14ac:dyDescent="0.2">
      <c r="B80" s="278" t="s">
        <v>460</v>
      </c>
      <c r="C80" s="279"/>
      <c r="D80" s="2888"/>
      <c r="E80" s="2893"/>
      <c r="F80" s="2889"/>
      <c r="G80" s="270"/>
      <c r="H80" s="311" t="str">
        <f t="shared" si="11"/>
        <v/>
      </c>
      <c r="I80" s="272">
        <f t="shared" si="8"/>
        <v>1.7</v>
      </c>
      <c r="J80" s="272">
        <f t="shared" si="9"/>
        <v>0</v>
      </c>
      <c r="K80" s="312">
        <f t="shared" si="10"/>
        <v>0</v>
      </c>
      <c r="L80" s="275"/>
      <c r="X80" s="277"/>
      <c r="Y80" s="267"/>
      <c r="Z80" s="267"/>
      <c r="AA80" s="266"/>
      <c r="AB80" s="266"/>
      <c r="AC80" s="266"/>
    </row>
    <row r="81" spans="2:29" s="268" customFormat="1" ht="12.75" x14ac:dyDescent="0.2">
      <c r="B81" s="278" t="s">
        <v>461</v>
      </c>
      <c r="C81" s="279"/>
      <c r="D81" s="2888"/>
      <c r="E81" s="2893"/>
      <c r="F81" s="2889"/>
      <c r="G81" s="270"/>
      <c r="H81" s="311" t="str">
        <f t="shared" si="11"/>
        <v/>
      </c>
      <c r="I81" s="272">
        <f t="shared" si="8"/>
        <v>1.7</v>
      </c>
      <c r="J81" s="272">
        <f t="shared" si="9"/>
        <v>0</v>
      </c>
      <c r="K81" s="312">
        <f t="shared" si="10"/>
        <v>0</v>
      </c>
      <c r="L81" s="275"/>
      <c r="X81" s="277"/>
      <c r="Y81" s="267"/>
      <c r="Z81" s="267"/>
      <c r="AA81" s="266"/>
      <c r="AB81" s="266"/>
      <c r="AC81" s="266"/>
    </row>
    <row r="82" spans="2:29" s="268" customFormat="1" ht="12.75" x14ac:dyDescent="0.2">
      <c r="B82" s="278" t="s">
        <v>462</v>
      </c>
      <c r="C82" s="279"/>
      <c r="D82" s="2888"/>
      <c r="E82" s="2893"/>
      <c r="F82" s="2889"/>
      <c r="G82" s="270"/>
      <c r="H82" s="311" t="str">
        <f>IF(G82&lt;&gt;"",1,"")</f>
        <v/>
      </c>
      <c r="I82" s="272">
        <f t="shared" si="8"/>
        <v>1.7</v>
      </c>
      <c r="J82" s="272">
        <f t="shared" si="9"/>
        <v>0</v>
      </c>
      <c r="K82" s="312">
        <f t="shared" si="10"/>
        <v>0</v>
      </c>
      <c r="L82" s="275"/>
      <c r="X82" s="277"/>
      <c r="Y82" s="267"/>
      <c r="Z82" s="267"/>
      <c r="AA82" s="266"/>
      <c r="AB82" s="266"/>
      <c r="AC82" s="266"/>
    </row>
    <row r="83" spans="2:29" s="268" customFormat="1" ht="12.75" x14ac:dyDescent="0.2">
      <c r="B83" s="278" t="s">
        <v>463</v>
      </c>
      <c r="C83" s="279"/>
      <c r="D83" s="2888"/>
      <c r="E83" s="2893"/>
      <c r="F83" s="2889"/>
      <c r="G83" s="270"/>
      <c r="H83" s="311" t="str">
        <f t="shared" si="11"/>
        <v/>
      </c>
      <c r="I83" s="272">
        <f t="shared" si="8"/>
        <v>1.7</v>
      </c>
      <c r="J83" s="272">
        <f t="shared" si="9"/>
        <v>0</v>
      </c>
      <c r="K83" s="312">
        <f t="shared" si="10"/>
        <v>0</v>
      </c>
      <c r="L83" s="275"/>
      <c r="X83" s="277"/>
      <c r="Y83" s="267"/>
      <c r="Z83" s="267"/>
      <c r="AA83" s="266"/>
      <c r="AB83" s="266"/>
      <c r="AC83" s="266"/>
    </row>
    <row r="84" spans="2:29" s="268" customFormat="1" ht="12.75" x14ac:dyDescent="0.2">
      <c r="B84" s="278" t="s">
        <v>464</v>
      </c>
      <c r="C84" s="279"/>
      <c r="D84" s="2904"/>
      <c r="E84" s="2893"/>
      <c r="F84" s="2889"/>
      <c r="G84" s="270"/>
      <c r="H84" s="311" t="str">
        <f t="shared" si="11"/>
        <v/>
      </c>
      <c r="I84" s="272">
        <f t="shared" si="8"/>
        <v>1.7</v>
      </c>
      <c r="J84" s="272">
        <f t="shared" si="9"/>
        <v>0</v>
      </c>
      <c r="K84" s="312">
        <f t="shared" si="10"/>
        <v>0</v>
      </c>
      <c r="L84" s="275"/>
      <c r="X84" s="277"/>
      <c r="Y84" s="267"/>
      <c r="Z84" s="267"/>
      <c r="AA84" s="266"/>
      <c r="AB84" s="266"/>
      <c r="AC84" s="266"/>
    </row>
    <row r="85" spans="2:29" s="268" customFormat="1" ht="12.75" x14ac:dyDescent="0.2">
      <c r="B85" s="278" t="s">
        <v>465</v>
      </c>
      <c r="C85" s="279"/>
      <c r="D85" s="2888"/>
      <c r="E85" s="2893"/>
      <c r="F85" s="2889"/>
      <c r="G85" s="270"/>
      <c r="H85" s="311" t="str">
        <f t="shared" si="11"/>
        <v/>
      </c>
      <c r="I85" s="272">
        <f t="shared" si="8"/>
        <v>1.7</v>
      </c>
      <c r="J85" s="272">
        <f t="shared" si="9"/>
        <v>0</v>
      </c>
      <c r="K85" s="312">
        <f t="shared" si="10"/>
        <v>0</v>
      </c>
      <c r="L85" s="281"/>
      <c r="X85" s="277"/>
      <c r="Y85" s="267"/>
      <c r="Z85" s="267"/>
      <c r="AA85" s="266"/>
      <c r="AB85" s="266"/>
      <c r="AC85" s="266"/>
    </row>
    <row r="86" spans="2:29" s="268" customFormat="1" ht="12.75" x14ac:dyDescent="0.2">
      <c r="B86" s="278" t="s">
        <v>466</v>
      </c>
      <c r="C86" s="279"/>
      <c r="D86" s="2888"/>
      <c r="E86" s="2893"/>
      <c r="F86" s="2889"/>
      <c r="G86" s="270"/>
      <c r="H86" s="311" t="str">
        <f t="shared" si="11"/>
        <v/>
      </c>
      <c r="I86" s="272">
        <f t="shared" si="8"/>
        <v>1.7</v>
      </c>
      <c r="J86" s="272">
        <f t="shared" si="9"/>
        <v>0</v>
      </c>
      <c r="K86" s="312">
        <f t="shared" si="10"/>
        <v>0</v>
      </c>
      <c r="L86" s="275"/>
      <c r="X86" s="277"/>
      <c r="Y86" s="267"/>
      <c r="Z86" s="267"/>
      <c r="AA86" s="266"/>
      <c r="AB86" s="266"/>
      <c r="AC86" s="266"/>
    </row>
    <row r="87" spans="2:29" s="268" customFormat="1" ht="12.75" x14ac:dyDescent="0.2">
      <c r="B87" s="278" t="s">
        <v>467</v>
      </c>
      <c r="C87" s="279"/>
      <c r="D87" s="2888"/>
      <c r="E87" s="2893"/>
      <c r="F87" s="2889"/>
      <c r="G87" s="270"/>
      <c r="H87" s="311" t="str">
        <f t="shared" si="11"/>
        <v/>
      </c>
      <c r="I87" s="272">
        <f t="shared" si="8"/>
        <v>1.7</v>
      </c>
      <c r="J87" s="272">
        <f t="shared" si="9"/>
        <v>0</v>
      </c>
      <c r="K87" s="312">
        <f t="shared" si="10"/>
        <v>0</v>
      </c>
      <c r="L87" s="275"/>
      <c r="X87" s="277"/>
      <c r="Y87" s="267"/>
      <c r="Z87" s="267"/>
      <c r="AA87" s="266"/>
      <c r="AB87" s="266"/>
      <c r="AC87" s="266"/>
    </row>
    <row r="88" spans="2:29" s="268" customFormat="1" ht="12.75" x14ac:dyDescent="0.2">
      <c r="B88" s="278" t="s">
        <v>468</v>
      </c>
      <c r="C88" s="279"/>
      <c r="D88" s="2888"/>
      <c r="E88" s="2893"/>
      <c r="F88" s="2889"/>
      <c r="G88" s="270"/>
      <c r="H88" s="311" t="str">
        <f t="shared" si="11"/>
        <v/>
      </c>
      <c r="I88" s="272">
        <f t="shared" si="8"/>
        <v>1.7</v>
      </c>
      <c r="J88" s="272">
        <f t="shared" si="9"/>
        <v>0</v>
      </c>
      <c r="K88" s="312">
        <f t="shared" si="10"/>
        <v>0</v>
      </c>
      <c r="L88" s="275"/>
      <c r="X88" s="277"/>
      <c r="Y88" s="267"/>
      <c r="Z88" s="267"/>
      <c r="AA88" s="266"/>
      <c r="AB88" s="266"/>
      <c r="AC88" s="266"/>
    </row>
    <row r="89" spans="2:29" s="268" customFormat="1" ht="12.75" x14ac:dyDescent="0.2">
      <c r="B89" s="278" t="s">
        <v>469</v>
      </c>
      <c r="C89" s="279"/>
      <c r="D89" s="2888"/>
      <c r="E89" s="2893"/>
      <c r="F89" s="2889"/>
      <c r="G89" s="270"/>
      <c r="H89" s="311" t="str">
        <f t="shared" si="11"/>
        <v/>
      </c>
      <c r="I89" s="272">
        <f t="shared" si="8"/>
        <v>1.7</v>
      </c>
      <c r="J89" s="272">
        <f t="shared" si="9"/>
        <v>0</v>
      </c>
      <c r="K89" s="312">
        <f t="shared" si="10"/>
        <v>0</v>
      </c>
      <c r="L89" s="275"/>
      <c r="X89" s="277"/>
      <c r="Y89" s="267"/>
      <c r="Z89" s="267"/>
      <c r="AA89" s="266"/>
      <c r="AB89" s="266"/>
      <c r="AC89" s="266"/>
    </row>
    <row r="90" spans="2:29" s="268" customFormat="1" ht="12.75" x14ac:dyDescent="0.2">
      <c r="B90" s="278" t="s">
        <v>470</v>
      </c>
      <c r="C90" s="279"/>
      <c r="D90" s="2888"/>
      <c r="E90" s="2893"/>
      <c r="F90" s="2889"/>
      <c r="G90" s="270"/>
      <c r="H90" s="311" t="str">
        <f t="shared" si="11"/>
        <v/>
      </c>
      <c r="I90" s="272">
        <f t="shared" si="8"/>
        <v>1.7</v>
      </c>
      <c r="J90" s="272">
        <f t="shared" si="9"/>
        <v>0</v>
      </c>
      <c r="K90" s="312">
        <f t="shared" si="10"/>
        <v>0</v>
      </c>
      <c r="L90" s="275"/>
      <c r="X90" s="277"/>
      <c r="Y90" s="267"/>
      <c r="Z90" s="267"/>
      <c r="AA90" s="266"/>
      <c r="AB90" s="266"/>
      <c r="AC90" s="266"/>
    </row>
    <row r="91" spans="2:29" s="268" customFormat="1" ht="12.75" x14ac:dyDescent="0.2">
      <c r="B91" s="278" t="s">
        <v>471</v>
      </c>
      <c r="C91" s="279"/>
      <c r="D91" s="2888"/>
      <c r="E91" s="2893"/>
      <c r="F91" s="2889"/>
      <c r="G91" s="270"/>
      <c r="H91" s="311" t="str">
        <f t="shared" si="11"/>
        <v/>
      </c>
      <c r="I91" s="272">
        <f t="shared" si="8"/>
        <v>1.7</v>
      </c>
      <c r="J91" s="272">
        <f t="shared" si="9"/>
        <v>0</v>
      </c>
      <c r="K91" s="312">
        <f t="shared" si="10"/>
        <v>0</v>
      </c>
      <c r="L91" s="275"/>
      <c r="X91" s="277"/>
      <c r="Y91" s="267"/>
      <c r="Z91" s="267"/>
      <c r="AA91" s="266"/>
      <c r="AB91" s="266"/>
      <c r="AC91" s="266"/>
    </row>
    <row r="92" spans="2:29" s="268" customFormat="1" ht="12.75" x14ac:dyDescent="0.2">
      <c r="B92" s="278" t="s">
        <v>472</v>
      </c>
      <c r="C92" s="279"/>
      <c r="D92" s="2888"/>
      <c r="E92" s="2893"/>
      <c r="F92" s="2889"/>
      <c r="G92" s="270"/>
      <c r="H92" s="311" t="str">
        <f>IF(G92&lt;&gt;"",1,"")</f>
        <v/>
      </c>
      <c r="I92" s="272">
        <f t="shared" si="8"/>
        <v>1.7</v>
      </c>
      <c r="J92" s="272">
        <f t="shared" si="9"/>
        <v>0</v>
      </c>
      <c r="K92" s="312">
        <f t="shared" si="10"/>
        <v>0</v>
      </c>
      <c r="L92" s="275"/>
      <c r="X92" s="277"/>
      <c r="Y92" s="267"/>
      <c r="Z92" s="267"/>
      <c r="AA92" s="266"/>
      <c r="AB92" s="266"/>
      <c r="AC92" s="266"/>
    </row>
    <row r="93" spans="2:29" s="268" customFormat="1" ht="12.75" x14ac:dyDescent="0.2">
      <c r="B93" s="278" t="s">
        <v>473</v>
      </c>
      <c r="C93" s="279"/>
      <c r="D93" s="2888"/>
      <c r="E93" s="2893"/>
      <c r="F93" s="2889"/>
      <c r="G93" s="270"/>
      <c r="H93" s="311" t="str">
        <f t="shared" ref="H93:H101" si="12">IF(G93&lt;&gt;"",1,"")</f>
        <v/>
      </c>
      <c r="I93" s="272">
        <f t="shared" si="8"/>
        <v>1.7</v>
      </c>
      <c r="J93" s="272">
        <f t="shared" si="9"/>
        <v>0</v>
      </c>
      <c r="K93" s="312">
        <f t="shared" si="10"/>
        <v>0</v>
      </c>
      <c r="L93" s="275"/>
      <c r="X93" s="277"/>
      <c r="Y93" s="267"/>
      <c r="Z93" s="267"/>
      <c r="AA93" s="266"/>
      <c r="AB93" s="266"/>
      <c r="AC93" s="266"/>
    </row>
    <row r="94" spans="2:29" s="268" customFormat="1" ht="12.75" x14ac:dyDescent="0.2">
      <c r="B94" s="1467" t="s">
        <v>474</v>
      </c>
      <c r="C94" s="1454"/>
      <c r="D94" s="2890"/>
      <c r="E94" s="2891"/>
      <c r="F94" s="2892"/>
      <c r="G94" s="1454"/>
      <c r="H94" s="1455" t="str">
        <f t="shared" si="12"/>
        <v/>
      </c>
      <c r="I94" s="1456">
        <f t="shared" si="8"/>
        <v>1.7</v>
      </c>
      <c r="J94" s="1456">
        <f t="shared" si="9"/>
        <v>0</v>
      </c>
      <c r="K94" s="1468">
        <f t="shared" si="10"/>
        <v>0</v>
      </c>
      <c r="L94" s="275"/>
      <c r="X94" s="277"/>
      <c r="Y94" s="267"/>
      <c r="Z94" s="267"/>
      <c r="AA94" s="266"/>
      <c r="AB94" s="266"/>
      <c r="AC94" s="266"/>
    </row>
    <row r="95" spans="2:29" s="268" customFormat="1" ht="12.75" x14ac:dyDescent="0.2">
      <c r="B95" s="1465" t="s">
        <v>475</v>
      </c>
      <c r="C95" s="1460"/>
      <c r="D95" s="2896"/>
      <c r="E95" s="2948"/>
      <c r="F95" s="2897"/>
      <c r="G95" s="1460"/>
      <c r="H95" s="1461" t="str">
        <f t="shared" si="12"/>
        <v/>
      </c>
      <c r="I95" s="1462">
        <f t="shared" si="8"/>
        <v>1.7</v>
      </c>
      <c r="J95" s="1462">
        <f t="shared" si="9"/>
        <v>0</v>
      </c>
      <c r="K95" s="1466">
        <f t="shared" si="10"/>
        <v>0</v>
      </c>
      <c r="L95" s="281"/>
      <c r="X95" s="277"/>
      <c r="Y95" s="267"/>
      <c r="Z95" s="267"/>
      <c r="AA95" s="266"/>
      <c r="AB95" s="266"/>
      <c r="AC95" s="266"/>
    </row>
    <row r="96" spans="2:29" s="268" customFormat="1" ht="12.75" x14ac:dyDescent="0.2">
      <c r="B96" s="278" t="s">
        <v>476</v>
      </c>
      <c r="C96" s="279"/>
      <c r="D96" s="2888"/>
      <c r="E96" s="2893"/>
      <c r="F96" s="2889"/>
      <c r="G96" s="270"/>
      <c r="H96" s="311" t="str">
        <f t="shared" si="12"/>
        <v/>
      </c>
      <c r="I96" s="272">
        <f t="shared" si="8"/>
        <v>1.7</v>
      </c>
      <c r="J96" s="272">
        <f t="shared" si="9"/>
        <v>0</v>
      </c>
      <c r="K96" s="312">
        <f t="shared" si="10"/>
        <v>0</v>
      </c>
      <c r="L96" s="275"/>
      <c r="X96" s="277"/>
      <c r="Y96" s="267"/>
      <c r="Z96" s="267"/>
      <c r="AA96" s="266"/>
      <c r="AB96" s="266"/>
      <c r="AC96" s="266"/>
    </row>
    <row r="97" spans="2:29" s="268" customFormat="1" ht="12.75" x14ac:dyDescent="0.2">
      <c r="B97" s="278" t="s">
        <v>477</v>
      </c>
      <c r="C97" s="279"/>
      <c r="D97" s="2888"/>
      <c r="E97" s="2893"/>
      <c r="F97" s="2889"/>
      <c r="G97" s="270"/>
      <c r="H97" s="311" t="str">
        <f t="shared" si="12"/>
        <v/>
      </c>
      <c r="I97" s="272">
        <f t="shared" si="8"/>
        <v>1.7</v>
      </c>
      <c r="J97" s="272">
        <f t="shared" si="9"/>
        <v>0</v>
      </c>
      <c r="K97" s="312">
        <f t="shared" si="10"/>
        <v>0</v>
      </c>
      <c r="L97" s="275"/>
      <c r="X97" s="277"/>
      <c r="Y97" s="267"/>
      <c r="Z97" s="267"/>
      <c r="AA97" s="266"/>
      <c r="AB97" s="266"/>
      <c r="AC97" s="266"/>
    </row>
    <row r="98" spans="2:29" s="268" customFormat="1" ht="12.75" x14ac:dyDescent="0.2">
      <c r="B98" s="278" t="s">
        <v>478</v>
      </c>
      <c r="C98" s="279"/>
      <c r="D98" s="2888"/>
      <c r="E98" s="2893"/>
      <c r="F98" s="2889"/>
      <c r="G98" s="270"/>
      <c r="H98" s="311" t="str">
        <f t="shared" si="12"/>
        <v/>
      </c>
      <c r="I98" s="272">
        <f t="shared" si="8"/>
        <v>1.7</v>
      </c>
      <c r="J98" s="272">
        <f t="shared" si="9"/>
        <v>0</v>
      </c>
      <c r="K98" s="312">
        <f t="shared" si="10"/>
        <v>0</v>
      </c>
      <c r="L98" s="275"/>
      <c r="X98" s="277"/>
      <c r="Y98" s="267"/>
      <c r="Z98" s="267"/>
      <c r="AA98" s="266"/>
      <c r="AB98" s="266"/>
      <c r="AC98" s="266"/>
    </row>
    <row r="99" spans="2:29" s="268" customFormat="1" ht="12.75" x14ac:dyDescent="0.2">
      <c r="B99" s="278" t="s">
        <v>479</v>
      </c>
      <c r="C99" s="279"/>
      <c r="D99" s="2888"/>
      <c r="E99" s="2893"/>
      <c r="F99" s="2889"/>
      <c r="G99" s="270"/>
      <c r="H99" s="311" t="str">
        <f t="shared" si="12"/>
        <v/>
      </c>
      <c r="I99" s="272">
        <f t="shared" si="8"/>
        <v>1.7</v>
      </c>
      <c r="J99" s="272">
        <f t="shared" si="9"/>
        <v>0</v>
      </c>
      <c r="K99" s="312">
        <f t="shared" si="10"/>
        <v>0</v>
      </c>
      <c r="L99" s="275"/>
      <c r="X99" s="277"/>
      <c r="Y99" s="267"/>
      <c r="Z99" s="267"/>
      <c r="AA99" s="266"/>
      <c r="AB99" s="266"/>
      <c r="AC99" s="266"/>
    </row>
    <row r="100" spans="2:29" s="268" customFormat="1" ht="12.75" x14ac:dyDescent="0.2">
      <c r="B100" s="278" t="s">
        <v>480</v>
      </c>
      <c r="C100" s="279"/>
      <c r="D100" s="2888"/>
      <c r="E100" s="2893"/>
      <c r="F100" s="2889"/>
      <c r="G100" s="270"/>
      <c r="H100" s="311" t="str">
        <f t="shared" si="12"/>
        <v/>
      </c>
      <c r="I100" s="272">
        <f t="shared" si="8"/>
        <v>1.7</v>
      </c>
      <c r="J100" s="272">
        <f t="shared" si="9"/>
        <v>0</v>
      </c>
      <c r="K100" s="312">
        <f t="shared" si="10"/>
        <v>0</v>
      </c>
      <c r="L100" s="275"/>
      <c r="X100" s="277"/>
      <c r="Y100" s="267"/>
      <c r="Z100" s="267"/>
      <c r="AA100" s="266"/>
      <c r="AB100" s="266"/>
      <c r="AC100" s="266"/>
    </row>
    <row r="101" spans="2:29" s="268" customFormat="1" ht="12.75" x14ac:dyDescent="0.2">
      <c r="B101" s="278" t="s">
        <v>481</v>
      </c>
      <c r="C101" s="279"/>
      <c r="D101" s="2904"/>
      <c r="E101" s="2893"/>
      <c r="F101" s="2889"/>
      <c r="G101" s="270"/>
      <c r="H101" s="311" t="str">
        <f t="shared" si="12"/>
        <v/>
      </c>
      <c r="I101" s="272">
        <f t="shared" si="8"/>
        <v>1.7</v>
      </c>
      <c r="J101" s="272">
        <f t="shared" si="9"/>
        <v>0</v>
      </c>
      <c r="K101" s="312">
        <f t="shared" si="10"/>
        <v>0</v>
      </c>
      <c r="L101" s="275"/>
      <c r="X101" s="277"/>
      <c r="Y101" s="267"/>
      <c r="Z101" s="267"/>
      <c r="AA101" s="266"/>
      <c r="AB101" s="266"/>
      <c r="AC101" s="266"/>
    </row>
    <row r="102" spans="2:29" s="268" customFormat="1" ht="21" customHeight="1" x14ac:dyDescent="0.2">
      <c r="B102" s="313"/>
      <c r="C102" s="314"/>
      <c r="D102" s="315"/>
      <c r="E102" s="316"/>
      <c r="F102" s="317"/>
      <c r="G102" s="318"/>
      <c r="H102" s="317"/>
      <c r="I102" s="319" t="s">
        <v>283</v>
      </c>
      <c r="J102" s="320">
        <f>SUM(J72:J101)</f>
        <v>0</v>
      </c>
      <c r="K102" s="321">
        <f>SUM(K72:K101)</f>
        <v>0</v>
      </c>
      <c r="L102" s="292"/>
      <c r="X102" s="322"/>
      <c r="Y102" s="322"/>
      <c r="Z102" s="322"/>
    </row>
    <row r="103" spans="2:29" ht="21" customHeight="1" x14ac:dyDescent="0.2">
      <c r="B103" s="323"/>
      <c r="C103" s="231" t="s">
        <v>483</v>
      </c>
      <c r="D103" s="324"/>
      <c r="E103" s="233"/>
      <c r="F103" s="325"/>
      <c r="G103" s="234" t="s">
        <v>437</v>
      </c>
      <c r="H103" s="326"/>
      <c r="I103" s="325"/>
      <c r="J103" s="327"/>
      <c r="K103" s="301"/>
      <c r="L103" s="237"/>
    </row>
    <row r="104" spans="2:29" ht="14.25" customHeight="1" x14ac:dyDescent="0.2">
      <c r="B104" s="238"/>
      <c r="C104" s="239" t="s">
        <v>438</v>
      </c>
      <c r="D104" s="2894" t="s">
        <v>439</v>
      </c>
      <c r="E104" s="2895"/>
      <c r="F104" s="239" t="s">
        <v>280</v>
      </c>
      <c r="G104" s="240" t="s">
        <v>440</v>
      </c>
      <c r="H104" s="242" t="s">
        <v>280</v>
      </c>
      <c r="I104" s="243" t="s">
        <v>442</v>
      </c>
      <c r="J104" s="243" t="s">
        <v>443</v>
      </c>
      <c r="K104" s="244" t="s">
        <v>443</v>
      </c>
      <c r="L104" s="245"/>
    </row>
    <row r="105" spans="2:29" ht="14.25" customHeight="1" x14ac:dyDescent="0.2">
      <c r="B105" s="246"/>
      <c r="C105" s="247"/>
      <c r="D105" s="2950" t="s">
        <v>972</v>
      </c>
      <c r="E105" s="2951"/>
      <c r="F105" s="247" t="s">
        <v>444</v>
      </c>
      <c r="G105" s="248" t="s">
        <v>445</v>
      </c>
      <c r="H105" s="250" t="s">
        <v>447</v>
      </c>
      <c r="I105" s="251" t="s">
        <v>448</v>
      </c>
      <c r="J105" s="251" t="s">
        <v>445</v>
      </c>
      <c r="K105" s="244" t="s">
        <v>315</v>
      </c>
      <c r="L105" s="252"/>
    </row>
    <row r="106" spans="2:29" x14ac:dyDescent="0.2">
      <c r="B106" s="253"/>
      <c r="C106" s="254"/>
      <c r="D106" s="2946" t="s">
        <v>1017</v>
      </c>
      <c r="E106" s="2947"/>
      <c r="F106" s="254"/>
      <c r="G106" s="255"/>
      <c r="H106" s="257"/>
      <c r="I106" s="258"/>
      <c r="J106" s="258"/>
      <c r="K106" s="259"/>
      <c r="L106" s="260"/>
    </row>
    <row r="107" spans="2:29" s="261" customFormat="1" x14ac:dyDescent="0.2">
      <c r="B107" s="262" t="s">
        <v>450</v>
      </c>
      <c r="C107" s="263" t="s">
        <v>484</v>
      </c>
      <c r="D107" s="2905" t="s">
        <v>974</v>
      </c>
      <c r="E107" s="2906"/>
      <c r="F107" s="263">
        <v>150</v>
      </c>
      <c r="G107" s="264">
        <v>30</v>
      </c>
      <c r="H107" s="264">
        <v>1</v>
      </c>
      <c r="I107" s="263" t="str">
        <f t="shared" ref="I107:I137" si="13">IF(AND(F107&gt;0,F107&lt;=60),IF(AND(H107&lt;&gt;"",H107&lt;&gt;0),IF(H107&lt;=3,3*H107,(3*3)+((3*0.75)*(H107-3))),3),IF(AND(F107&gt;60,F107&lt;=100),IF(AND(H107&lt;&gt;"",H107&lt;&gt;0),IF(H107&lt;=3,3.75*H107,(3.75*3)+((3.75*0.75)*(H107-3))),3.75),IF(AND(F107&gt;100,F107&lt;=140),IF(AND(H107&lt;&gt;"",H107&lt;&gt;0),IF(H107&lt;=3,4.5*H107,(4.5*3)+((4.5*0.75)*(H107-3))),4.5),IF(AND(F107&gt;140,F107&lt;=180),IF(AND(H107&lt;&gt;"",H107&lt;&gt;0),IF(H107&lt;=3,5.25*H107,(5.25*3)+((5.25*0.75)*(H107-3))),5.25),IF(AND(F107&gt;180,F107&lt;=220),IF(AND(H107&lt;&gt;"",H107&lt;&gt;0),IF(H107&lt;=3,6*H107,(6*3)+((6*0.75)*(H107-3))),6),"")))))&amp;IF(AND(F107&gt;220,F107&lt;=260),IF(AND(H107&lt;&gt;"",H107&lt;&gt;0),IF(H107&lt;=3,6.75*H107,(6.75*3)+((6.75*0.75)*(H107-3))),6.75),IF(AND(F107&gt;260,F107&lt;=300),IF(AND(H107&lt;&gt;"",H107&lt;&gt;0),IF(H107&lt;=3,7.5*H107,(7.5*3)+((7.5*0.75)*(H107-3))),7.5),IF(AND(F107&gt;300,F107&lt;=340),IF(AND(H107&lt;&gt;"",H107&lt;&gt;0),IF(H107&lt;=3,8.25*H107,(8.25*3)+((8.25*0.75)*(H107-3))),8.25),IF(F107&gt;340,IF(AND(H107&lt;&gt;"",H107&lt;&gt;0),IF(H107&lt;=3,9*H107,(9*3)+((9*0.75)*(H107-3))),9),""))))</f>
        <v>5.25</v>
      </c>
      <c r="J107" s="309">
        <f>IF(AND(F107&lt;&gt;"",F107&lt;&gt;0),IF(AND(G107&lt;&gt;"",G107&lt;&gt;0),G107*I107,0),0)</f>
        <v>157.5</v>
      </c>
      <c r="K107" s="310">
        <f t="shared" ref="K107:K137" si="14">J107/15</f>
        <v>10.5</v>
      </c>
      <c r="L107" s="265"/>
      <c r="P107" s="266"/>
      <c r="Q107" s="266"/>
      <c r="R107" s="266"/>
      <c r="S107" s="266"/>
      <c r="T107" s="266"/>
      <c r="U107" s="266"/>
      <c r="V107" s="266"/>
      <c r="W107" s="266"/>
      <c r="X107" s="267"/>
      <c r="Y107" s="267"/>
      <c r="Z107" s="267"/>
      <c r="AA107" s="266"/>
      <c r="AB107" s="266"/>
      <c r="AC107" s="266"/>
    </row>
    <row r="108" spans="2:29" s="268" customFormat="1" ht="12.75" x14ac:dyDescent="0.2">
      <c r="B108" s="278" t="s">
        <v>452</v>
      </c>
      <c r="C108" s="279"/>
      <c r="D108" s="2904"/>
      <c r="E108" s="2889"/>
      <c r="F108" s="270"/>
      <c r="G108" s="270"/>
      <c r="H108" s="311" t="str">
        <f t="shared" ref="H108:H137" si="15">IF(F108&lt;&gt;"",1,"")</f>
        <v/>
      </c>
      <c r="I108" s="328" t="str">
        <f t="shared" si="13"/>
        <v/>
      </c>
      <c r="J108" s="272">
        <f>IF(AND(F108&lt;&gt;"",F108&lt;&gt;0),IF(AND(G108&lt;&gt;"",G108&lt;&gt;0),G108*I108,0),0)</f>
        <v>0</v>
      </c>
      <c r="K108" s="312">
        <f t="shared" si="14"/>
        <v>0</v>
      </c>
      <c r="L108" s="275"/>
      <c r="X108" s="277"/>
      <c r="Y108" s="267"/>
      <c r="Z108" s="267"/>
      <c r="AA108" s="266"/>
      <c r="AB108" s="266"/>
      <c r="AC108" s="266"/>
    </row>
    <row r="109" spans="2:29" s="268" customFormat="1" ht="12.75" x14ac:dyDescent="0.2">
      <c r="B109" s="278" t="s">
        <v>453</v>
      </c>
      <c r="C109" s="279"/>
      <c r="D109" s="2888"/>
      <c r="E109" s="2889"/>
      <c r="F109" s="270"/>
      <c r="G109" s="270"/>
      <c r="H109" s="311" t="str">
        <f t="shared" si="15"/>
        <v/>
      </c>
      <c r="I109" s="328" t="str">
        <f t="shared" si="13"/>
        <v/>
      </c>
      <c r="J109" s="272">
        <f t="shared" ref="J109:J137" si="16">IF(AND(F109&lt;&gt;"",F109&lt;&gt;0),IF(AND(G109&lt;&gt;"",G109&lt;&gt;0),G109*I109,0),0)</f>
        <v>0</v>
      </c>
      <c r="K109" s="312">
        <f t="shared" si="14"/>
        <v>0</v>
      </c>
      <c r="L109" s="275"/>
      <c r="X109" s="277"/>
      <c r="Y109" s="267"/>
      <c r="Z109" s="267"/>
      <c r="AA109" s="266"/>
      <c r="AB109" s="266"/>
      <c r="AC109" s="266"/>
    </row>
    <row r="110" spans="2:29" s="268" customFormat="1" ht="12.75" x14ac:dyDescent="0.2">
      <c r="B110" s="278" t="s">
        <v>454</v>
      </c>
      <c r="C110" s="279"/>
      <c r="D110" s="2888"/>
      <c r="E110" s="2889"/>
      <c r="F110" s="270"/>
      <c r="G110" s="270"/>
      <c r="H110" s="311" t="str">
        <f t="shared" si="15"/>
        <v/>
      </c>
      <c r="I110" s="328" t="str">
        <f t="shared" si="13"/>
        <v/>
      </c>
      <c r="J110" s="272">
        <f t="shared" si="16"/>
        <v>0</v>
      </c>
      <c r="K110" s="312">
        <f t="shared" si="14"/>
        <v>0</v>
      </c>
      <c r="L110" s="275"/>
      <c r="X110" s="277"/>
      <c r="Y110" s="267"/>
      <c r="Z110" s="267"/>
      <c r="AA110" s="266"/>
      <c r="AB110" s="266"/>
      <c r="AC110" s="266"/>
    </row>
    <row r="111" spans="2:29" s="268" customFormat="1" ht="12.75" x14ac:dyDescent="0.2">
      <c r="B111" s="278" t="s">
        <v>455</v>
      </c>
      <c r="C111" s="279"/>
      <c r="D111" s="2888"/>
      <c r="E111" s="2889"/>
      <c r="F111" s="270"/>
      <c r="G111" s="270"/>
      <c r="H111" s="311" t="str">
        <f t="shared" si="15"/>
        <v/>
      </c>
      <c r="I111" s="328" t="str">
        <f t="shared" si="13"/>
        <v/>
      </c>
      <c r="J111" s="272">
        <f t="shared" si="16"/>
        <v>0</v>
      </c>
      <c r="K111" s="312">
        <f t="shared" si="14"/>
        <v>0</v>
      </c>
      <c r="L111" s="281"/>
      <c r="X111" s="277"/>
      <c r="Y111" s="267"/>
      <c r="Z111" s="267"/>
      <c r="AA111" s="266"/>
      <c r="AB111" s="266"/>
      <c r="AC111" s="266"/>
    </row>
    <row r="112" spans="2:29" s="268" customFormat="1" ht="12.75" x14ac:dyDescent="0.2">
      <c r="B112" s="278" t="s">
        <v>456</v>
      </c>
      <c r="C112" s="279"/>
      <c r="D112" s="2888"/>
      <c r="E112" s="2889"/>
      <c r="F112" s="270"/>
      <c r="G112" s="270"/>
      <c r="H112" s="311" t="str">
        <f t="shared" si="15"/>
        <v/>
      </c>
      <c r="I112" s="328" t="str">
        <f t="shared" si="13"/>
        <v/>
      </c>
      <c r="J112" s="272">
        <f t="shared" si="16"/>
        <v>0</v>
      </c>
      <c r="K112" s="312">
        <f t="shared" si="14"/>
        <v>0</v>
      </c>
      <c r="L112" s="275"/>
      <c r="X112" s="277"/>
      <c r="Y112" s="267"/>
      <c r="Z112" s="267"/>
      <c r="AA112" s="266"/>
      <c r="AB112" s="266"/>
      <c r="AC112" s="266"/>
    </row>
    <row r="113" spans="2:29" s="268" customFormat="1" ht="12.75" x14ac:dyDescent="0.2">
      <c r="B113" s="278" t="s">
        <v>457</v>
      </c>
      <c r="C113" s="279"/>
      <c r="D113" s="2888"/>
      <c r="E113" s="2889"/>
      <c r="F113" s="270"/>
      <c r="G113" s="270"/>
      <c r="H113" s="311" t="str">
        <f t="shared" si="15"/>
        <v/>
      </c>
      <c r="I113" s="328" t="str">
        <f t="shared" si="13"/>
        <v/>
      </c>
      <c r="J113" s="272">
        <f t="shared" si="16"/>
        <v>0</v>
      </c>
      <c r="K113" s="312">
        <f t="shared" si="14"/>
        <v>0</v>
      </c>
      <c r="L113" s="275"/>
      <c r="X113" s="277"/>
      <c r="Y113" s="267"/>
      <c r="Z113" s="267"/>
      <c r="AA113" s="266"/>
      <c r="AB113" s="266"/>
      <c r="AC113" s="266"/>
    </row>
    <row r="114" spans="2:29" s="268" customFormat="1" ht="12.75" x14ac:dyDescent="0.2">
      <c r="B114" s="278" t="s">
        <v>458</v>
      </c>
      <c r="C114" s="279"/>
      <c r="D114" s="2888"/>
      <c r="E114" s="2889"/>
      <c r="F114" s="270"/>
      <c r="G114" s="270"/>
      <c r="H114" s="311" t="str">
        <f t="shared" si="15"/>
        <v/>
      </c>
      <c r="I114" s="328" t="str">
        <f t="shared" si="13"/>
        <v/>
      </c>
      <c r="J114" s="272">
        <f t="shared" si="16"/>
        <v>0</v>
      </c>
      <c r="K114" s="312">
        <f t="shared" si="14"/>
        <v>0</v>
      </c>
      <c r="L114" s="275"/>
      <c r="X114" s="277"/>
      <c r="Y114" s="267"/>
      <c r="Z114" s="267"/>
      <c r="AA114" s="266"/>
      <c r="AB114" s="266"/>
      <c r="AC114" s="266"/>
    </row>
    <row r="115" spans="2:29" s="268" customFormat="1" ht="12.75" x14ac:dyDescent="0.2">
      <c r="B115" s="278" t="s">
        <v>459</v>
      </c>
      <c r="C115" s="279"/>
      <c r="D115" s="2888"/>
      <c r="E115" s="2889"/>
      <c r="F115" s="270"/>
      <c r="G115" s="270"/>
      <c r="H115" s="311" t="str">
        <f t="shared" si="15"/>
        <v/>
      </c>
      <c r="I115" s="328" t="str">
        <f t="shared" si="13"/>
        <v/>
      </c>
      <c r="J115" s="272">
        <f t="shared" si="16"/>
        <v>0</v>
      </c>
      <c r="K115" s="312">
        <f t="shared" si="14"/>
        <v>0</v>
      </c>
      <c r="L115" s="275"/>
      <c r="X115" s="277"/>
      <c r="Y115" s="267"/>
      <c r="Z115" s="267"/>
      <c r="AA115" s="266"/>
      <c r="AB115" s="266"/>
      <c r="AC115" s="266"/>
    </row>
    <row r="116" spans="2:29" s="268" customFormat="1" ht="12.75" x14ac:dyDescent="0.2">
      <c r="B116" s="278" t="s">
        <v>460</v>
      </c>
      <c r="C116" s="279"/>
      <c r="D116" s="2888"/>
      <c r="E116" s="2889"/>
      <c r="F116" s="270"/>
      <c r="G116" s="270"/>
      <c r="H116" s="311" t="str">
        <f t="shared" si="15"/>
        <v/>
      </c>
      <c r="I116" s="328" t="str">
        <f t="shared" si="13"/>
        <v/>
      </c>
      <c r="J116" s="272">
        <f t="shared" si="16"/>
        <v>0</v>
      </c>
      <c r="K116" s="312">
        <f t="shared" si="14"/>
        <v>0</v>
      </c>
      <c r="L116" s="275"/>
      <c r="X116" s="277"/>
      <c r="Y116" s="267"/>
      <c r="Z116" s="267"/>
      <c r="AA116" s="266"/>
      <c r="AB116" s="266"/>
      <c r="AC116" s="266"/>
    </row>
    <row r="117" spans="2:29" s="268" customFormat="1" ht="12.75" x14ac:dyDescent="0.2">
      <c r="B117" s="278" t="s">
        <v>461</v>
      </c>
      <c r="C117" s="279"/>
      <c r="D117" s="2888"/>
      <c r="E117" s="2889"/>
      <c r="F117" s="270"/>
      <c r="G117" s="270"/>
      <c r="H117" s="311" t="str">
        <f t="shared" si="15"/>
        <v/>
      </c>
      <c r="I117" s="328" t="str">
        <f t="shared" si="13"/>
        <v/>
      </c>
      <c r="J117" s="272">
        <f t="shared" si="16"/>
        <v>0</v>
      </c>
      <c r="K117" s="312">
        <f t="shared" si="14"/>
        <v>0</v>
      </c>
      <c r="L117" s="275"/>
      <c r="X117" s="277"/>
      <c r="Y117" s="267"/>
      <c r="Z117" s="267"/>
      <c r="AA117" s="266"/>
      <c r="AB117" s="266"/>
      <c r="AC117" s="266"/>
    </row>
    <row r="118" spans="2:29" s="268" customFormat="1" ht="12.75" x14ac:dyDescent="0.2">
      <c r="B118" s="278" t="s">
        <v>462</v>
      </c>
      <c r="C118" s="279"/>
      <c r="D118" s="2888"/>
      <c r="E118" s="2889"/>
      <c r="F118" s="270"/>
      <c r="G118" s="270"/>
      <c r="H118" s="311" t="str">
        <f t="shared" si="15"/>
        <v/>
      </c>
      <c r="I118" s="328" t="str">
        <f t="shared" si="13"/>
        <v/>
      </c>
      <c r="J118" s="272">
        <f t="shared" si="16"/>
        <v>0</v>
      </c>
      <c r="K118" s="312">
        <f t="shared" si="14"/>
        <v>0</v>
      </c>
      <c r="L118" s="275"/>
      <c r="X118" s="277"/>
      <c r="Y118" s="267"/>
      <c r="Z118" s="267"/>
      <c r="AA118" s="266"/>
      <c r="AB118" s="266"/>
      <c r="AC118" s="266"/>
    </row>
    <row r="119" spans="2:29" s="268" customFormat="1" ht="12.75" x14ac:dyDescent="0.2">
      <c r="B119" s="278" t="s">
        <v>463</v>
      </c>
      <c r="C119" s="279"/>
      <c r="D119" s="2888"/>
      <c r="E119" s="2889"/>
      <c r="F119" s="270"/>
      <c r="G119" s="270"/>
      <c r="H119" s="311" t="str">
        <f t="shared" si="15"/>
        <v/>
      </c>
      <c r="I119" s="328" t="str">
        <f t="shared" si="13"/>
        <v/>
      </c>
      <c r="J119" s="272">
        <f t="shared" si="16"/>
        <v>0</v>
      </c>
      <c r="K119" s="312">
        <f t="shared" si="14"/>
        <v>0</v>
      </c>
      <c r="L119" s="275"/>
      <c r="X119" s="277"/>
      <c r="Y119" s="267"/>
      <c r="Z119" s="267"/>
      <c r="AA119" s="266"/>
      <c r="AB119" s="266"/>
      <c r="AC119" s="266"/>
    </row>
    <row r="120" spans="2:29" s="268" customFormat="1" ht="12.75" x14ac:dyDescent="0.2">
      <c r="B120" s="278" t="s">
        <v>464</v>
      </c>
      <c r="C120" s="279"/>
      <c r="D120" s="2888"/>
      <c r="E120" s="2889"/>
      <c r="F120" s="270"/>
      <c r="G120" s="270"/>
      <c r="H120" s="311" t="str">
        <f t="shared" si="15"/>
        <v/>
      </c>
      <c r="I120" s="328" t="str">
        <f t="shared" si="13"/>
        <v/>
      </c>
      <c r="J120" s="272">
        <f t="shared" si="16"/>
        <v>0</v>
      </c>
      <c r="K120" s="312">
        <f t="shared" si="14"/>
        <v>0</v>
      </c>
      <c r="L120" s="275"/>
      <c r="X120" s="277"/>
      <c r="Y120" s="267"/>
      <c r="Z120" s="267"/>
      <c r="AA120" s="266"/>
      <c r="AB120" s="266"/>
      <c r="AC120" s="266"/>
    </row>
    <row r="121" spans="2:29" s="268" customFormat="1" ht="12.75" x14ac:dyDescent="0.2">
      <c r="B121" s="278" t="s">
        <v>465</v>
      </c>
      <c r="C121" s="279"/>
      <c r="D121" s="2888"/>
      <c r="E121" s="2889"/>
      <c r="F121" s="270"/>
      <c r="G121" s="270"/>
      <c r="H121" s="311" t="str">
        <f t="shared" si="15"/>
        <v/>
      </c>
      <c r="I121" s="328" t="str">
        <f t="shared" si="13"/>
        <v/>
      </c>
      <c r="J121" s="272">
        <f t="shared" si="16"/>
        <v>0</v>
      </c>
      <c r="K121" s="312">
        <f t="shared" si="14"/>
        <v>0</v>
      </c>
      <c r="L121" s="281"/>
      <c r="X121" s="277"/>
      <c r="Y121" s="267"/>
      <c r="Z121" s="267"/>
      <c r="AA121" s="266"/>
      <c r="AB121" s="266"/>
      <c r="AC121" s="266"/>
    </row>
    <row r="122" spans="2:29" s="268" customFormat="1" ht="12.75" x14ac:dyDescent="0.2">
      <c r="B122" s="278" t="s">
        <v>466</v>
      </c>
      <c r="C122" s="279"/>
      <c r="D122" s="2888"/>
      <c r="E122" s="2889"/>
      <c r="F122" s="270"/>
      <c r="G122" s="270"/>
      <c r="H122" s="311" t="str">
        <f t="shared" si="15"/>
        <v/>
      </c>
      <c r="I122" s="328" t="str">
        <f t="shared" si="13"/>
        <v/>
      </c>
      <c r="J122" s="272">
        <f t="shared" si="16"/>
        <v>0</v>
      </c>
      <c r="K122" s="312">
        <f t="shared" si="14"/>
        <v>0</v>
      </c>
      <c r="L122" s="275"/>
      <c r="X122" s="277"/>
      <c r="Y122" s="267"/>
      <c r="Z122" s="267"/>
      <c r="AA122" s="266"/>
      <c r="AB122" s="266"/>
      <c r="AC122" s="266"/>
    </row>
    <row r="123" spans="2:29" s="268" customFormat="1" ht="12.75" x14ac:dyDescent="0.2">
      <c r="B123" s="278" t="s">
        <v>467</v>
      </c>
      <c r="C123" s="279"/>
      <c r="D123" s="2888"/>
      <c r="E123" s="2889"/>
      <c r="F123" s="270"/>
      <c r="G123" s="270"/>
      <c r="H123" s="311" t="str">
        <f t="shared" si="15"/>
        <v/>
      </c>
      <c r="I123" s="328" t="str">
        <f t="shared" si="13"/>
        <v/>
      </c>
      <c r="J123" s="272">
        <f t="shared" si="16"/>
        <v>0</v>
      </c>
      <c r="K123" s="312">
        <f t="shared" si="14"/>
        <v>0</v>
      </c>
      <c r="L123" s="275"/>
      <c r="X123" s="277"/>
      <c r="Y123" s="267"/>
      <c r="Z123" s="267"/>
      <c r="AA123" s="266"/>
      <c r="AB123" s="266"/>
      <c r="AC123" s="266"/>
    </row>
    <row r="124" spans="2:29" s="268" customFormat="1" ht="12.75" x14ac:dyDescent="0.2">
      <c r="B124" s="278" t="s">
        <v>468</v>
      </c>
      <c r="C124" s="279"/>
      <c r="D124" s="2888"/>
      <c r="E124" s="2889"/>
      <c r="F124" s="270"/>
      <c r="G124" s="270"/>
      <c r="H124" s="311" t="str">
        <f t="shared" si="15"/>
        <v/>
      </c>
      <c r="I124" s="328" t="str">
        <f t="shared" si="13"/>
        <v/>
      </c>
      <c r="J124" s="272">
        <f t="shared" si="16"/>
        <v>0</v>
      </c>
      <c r="K124" s="312">
        <f t="shared" si="14"/>
        <v>0</v>
      </c>
      <c r="L124" s="275"/>
      <c r="X124" s="277"/>
      <c r="Y124" s="267"/>
      <c r="Z124" s="267"/>
      <c r="AA124" s="266"/>
      <c r="AB124" s="266"/>
      <c r="AC124" s="266"/>
    </row>
    <row r="125" spans="2:29" s="268" customFormat="1" ht="12.75" x14ac:dyDescent="0.2">
      <c r="B125" s="278" t="s">
        <v>469</v>
      </c>
      <c r="C125" s="279"/>
      <c r="D125" s="2888"/>
      <c r="E125" s="2889"/>
      <c r="F125" s="270"/>
      <c r="G125" s="270"/>
      <c r="H125" s="311" t="str">
        <f t="shared" si="15"/>
        <v/>
      </c>
      <c r="I125" s="328" t="str">
        <f t="shared" si="13"/>
        <v/>
      </c>
      <c r="J125" s="272">
        <f t="shared" si="16"/>
        <v>0</v>
      </c>
      <c r="K125" s="312">
        <f t="shared" si="14"/>
        <v>0</v>
      </c>
      <c r="L125" s="275"/>
      <c r="X125" s="277"/>
      <c r="Y125" s="267"/>
      <c r="Z125" s="267"/>
      <c r="AA125" s="266"/>
      <c r="AB125" s="266"/>
      <c r="AC125" s="266"/>
    </row>
    <row r="126" spans="2:29" s="268" customFormat="1" ht="12.75" x14ac:dyDescent="0.2">
      <c r="B126" s="278" t="s">
        <v>470</v>
      </c>
      <c r="C126" s="279"/>
      <c r="D126" s="2888"/>
      <c r="E126" s="2889"/>
      <c r="F126" s="270"/>
      <c r="G126" s="270"/>
      <c r="H126" s="311" t="str">
        <f t="shared" si="15"/>
        <v/>
      </c>
      <c r="I126" s="328" t="str">
        <f t="shared" si="13"/>
        <v/>
      </c>
      <c r="J126" s="272">
        <f t="shared" si="16"/>
        <v>0</v>
      </c>
      <c r="K126" s="312">
        <f t="shared" si="14"/>
        <v>0</v>
      </c>
      <c r="L126" s="275"/>
      <c r="X126" s="277"/>
      <c r="Y126" s="267"/>
      <c r="Z126" s="267"/>
      <c r="AA126" s="266"/>
      <c r="AB126" s="266"/>
      <c r="AC126" s="266"/>
    </row>
    <row r="127" spans="2:29" s="268" customFormat="1" ht="12.75" x14ac:dyDescent="0.2">
      <c r="B127" s="278" t="s">
        <v>471</v>
      </c>
      <c r="C127" s="279"/>
      <c r="D127" s="2888"/>
      <c r="E127" s="2889"/>
      <c r="F127" s="270"/>
      <c r="G127" s="270"/>
      <c r="H127" s="311" t="str">
        <f t="shared" si="15"/>
        <v/>
      </c>
      <c r="I127" s="328" t="str">
        <f t="shared" si="13"/>
        <v/>
      </c>
      <c r="J127" s="272">
        <f t="shared" si="16"/>
        <v>0</v>
      </c>
      <c r="K127" s="312">
        <f t="shared" si="14"/>
        <v>0</v>
      </c>
      <c r="L127" s="275"/>
      <c r="X127" s="277"/>
      <c r="Y127" s="267"/>
      <c r="Z127" s="267"/>
      <c r="AA127" s="266"/>
      <c r="AB127" s="266"/>
      <c r="AC127" s="266"/>
    </row>
    <row r="128" spans="2:29" s="268" customFormat="1" ht="12.75" x14ac:dyDescent="0.2">
      <c r="B128" s="278" t="s">
        <v>472</v>
      </c>
      <c r="C128" s="279"/>
      <c r="D128" s="2888"/>
      <c r="E128" s="2889"/>
      <c r="F128" s="270"/>
      <c r="G128" s="270"/>
      <c r="H128" s="311" t="str">
        <f t="shared" si="15"/>
        <v/>
      </c>
      <c r="I128" s="328" t="str">
        <f t="shared" si="13"/>
        <v/>
      </c>
      <c r="J128" s="272">
        <f t="shared" si="16"/>
        <v>0</v>
      </c>
      <c r="K128" s="312">
        <f t="shared" si="14"/>
        <v>0</v>
      </c>
      <c r="L128" s="275"/>
      <c r="X128" s="277"/>
      <c r="Y128" s="267"/>
      <c r="Z128" s="267"/>
      <c r="AA128" s="266"/>
      <c r="AB128" s="266"/>
      <c r="AC128" s="266"/>
    </row>
    <row r="129" spans="2:29" s="268" customFormat="1" ht="12.75" x14ac:dyDescent="0.2">
      <c r="B129" s="278" t="s">
        <v>473</v>
      </c>
      <c r="C129" s="279"/>
      <c r="D129" s="2888"/>
      <c r="E129" s="2889"/>
      <c r="F129" s="270"/>
      <c r="G129" s="270"/>
      <c r="H129" s="311" t="str">
        <f t="shared" si="15"/>
        <v/>
      </c>
      <c r="I129" s="328" t="str">
        <f t="shared" si="13"/>
        <v/>
      </c>
      <c r="J129" s="272">
        <f t="shared" si="16"/>
        <v>0</v>
      </c>
      <c r="K129" s="312">
        <f t="shared" si="14"/>
        <v>0</v>
      </c>
      <c r="L129" s="275"/>
      <c r="X129" s="277"/>
      <c r="Y129" s="267"/>
      <c r="Z129" s="267"/>
      <c r="AA129" s="266"/>
      <c r="AB129" s="266"/>
      <c r="AC129" s="266"/>
    </row>
    <row r="130" spans="2:29" s="268" customFormat="1" ht="12.75" x14ac:dyDescent="0.2">
      <c r="B130" s="278" t="s">
        <v>474</v>
      </c>
      <c r="C130" s="279"/>
      <c r="D130" s="2888"/>
      <c r="E130" s="2889"/>
      <c r="F130" s="270"/>
      <c r="G130" s="270"/>
      <c r="H130" s="311" t="str">
        <f t="shared" si="15"/>
        <v/>
      </c>
      <c r="I130" s="328" t="str">
        <f t="shared" si="13"/>
        <v/>
      </c>
      <c r="J130" s="272">
        <f t="shared" si="16"/>
        <v>0</v>
      </c>
      <c r="K130" s="312">
        <f t="shared" si="14"/>
        <v>0</v>
      </c>
      <c r="L130" s="275"/>
      <c r="X130" s="277"/>
      <c r="Y130" s="267"/>
      <c r="Z130" s="267"/>
      <c r="AA130" s="266"/>
      <c r="AB130" s="266"/>
      <c r="AC130" s="266"/>
    </row>
    <row r="131" spans="2:29" s="268" customFormat="1" ht="12.75" x14ac:dyDescent="0.2">
      <c r="B131" s="278" t="s">
        <v>475</v>
      </c>
      <c r="C131" s="279"/>
      <c r="D131" s="2888"/>
      <c r="E131" s="2889"/>
      <c r="F131" s="270"/>
      <c r="G131" s="270"/>
      <c r="H131" s="311" t="str">
        <f t="shared" si="15"/>
        <v/>
      </c>
      <c r="I131" s="328" t="str">
        <f t="shared" si="13"/>
        <v/>
      </c>
      <c r="J131" s="272">
        <f t="shared" si="16"/>
        <v>0</v>
      </c>
      <c r="K131" s="312">
        <f t="shared" si="14"/>
        <v>0</v>
      </c>
      <c r="L131" s="281"/>
      <c r="X131" s="277"/>
      <c r="Y131" s="267"/>
      <c r="Z131" s="267"/>
      <c r="AA131" s="266"/>
      <c r="AB131" s="266"/>
      <c r="AC131" s="266"/>
    </row>
    <row r="132" spans="2:29" s="268" customFormat="1" ht="12.75" x14ac:dyDescent="0.2">
      <c r="B132" s="278" t="s">
        <v>476</v>
      </c>
      <c r="C132" s="279"/>
      <c r="D132" s="2888"/>
      <c r="E132" s="2889"/>
      <c r="F132" s="270"/>
      <c r="G132" s="270"/>
      <c r="H132" s="311" t="str">
        <f t="shared" si="15"/>
        <v/>
      </c>
      <c r="I132" s="328" t="str">
        <f t="shared" si="13"/>
        <v/>
      </c>
      <c r="J132" s="272">
        <f t="shared" si="16"/>
        <v>0</v>
      </c>
      <c r="K132" s="312">
        <f t="shared" si="14"/>
        <v>0</v>
      </c>
      <c r="L132" s="275"/>
      <c r="X132" s="277"/>
      <c r="Y132" s="267"/>
      <c r="Z132" s="267"/>
      <c r="AA132" s="266"/>
      <c r="AB132" s="266"/>
      <c r="AC132" s="266"/>
    </row>
    <row r="133" spans="2:29" s="268" customFormat="1" ht="12.75" x14ac:dyDescent="0.2">
      <c r="B133" s="1467" t="s">
        <v>477</v>
      </c>
      <c r="C133" s="1454"/>
      <c r="D133" s="2890"/>
      <c r="E133" s="2892"/>
      <c r="F133" s="1454"/>
      <c r="G133" s="1454"/>
      <c r="H133" s="1455" t="str">
        <f t="shared" si="15"/>
        <v/>
      </c>
      <c r="I133" s="1469" t="str">
        <f t="shared" si="13"/>
        <v/>
      </c>
      <c r="J133" s="1456">
        <f t="shared" si="16"/>
        <v>0</v>
      </c>
      <c r="K133" s="1468">
        <f t="shared" si="14"/>
        <v>0</v>
      </c>
      <c r="L133" s="275"/>
      <c r="X133" s="277"/>
      <c r="Y133" s="267"/>
      <c r="Z133" s="267"/>
      <c r="AA133" s="266"/>
      <c r="AB133" s="266"/>
      <c r="AC133" s="266"/>
    </row>
    <row r="134" spans="2:29" s="268" customFormat="1" ht="12.75" x14ac:dyDescent="0.2">
      <c r="B134" s="1465" t="s">
        <v>478</v>
      </c>
      <c r="C134" s="1460"/>
      <c r="D134" s="2896"/>
      <c r="E134" s="2897"/>
      <c r="F134" s="1460"/>
      <c r="G134" s="1460"/>
      <c r="H134" s="1461" t="str">
        <f t="shared" si="15"/>
        <v/>
      </c>
      <c r="I134" s="1470" t="str">
        <f t="shared" si="13"/>
        <v/>
      </c>
      <c r="J134" s="1462">
        <f t="shared" si="16"/>
        <v>0</v>
      </c>
      <c r="K134" s="1466">
        <f t="shared" si="14"/>
        <v>0</v>
      </c>
      <c r="L134" s="275"/>
      <c r="X134" s="277"/>
      <c r="Y134" s="267"/>
      <c r="Z134" s="267"/>
      <c r="AA134" s="266"/>
      <c r="AB134" s="266"/>
      <c r="AC134" s="266"/>
    </row>
    <row r="135" spans="2:29" s="268" customFormat="1" ht="12.75" x14ac:dyDescent="0.2">
      <c r="B135" s="278" t="s">
        <v>479</v>
      </c>
      <c r="C135" s="279"/>
      <c r="D135" s="2888"/>
      <c r="E135" s="2889"/>
      <c r="F135" s="270"/>
      <c r="G135" s="270"/>
      <c r="H135" s="311" t="str">
        <f t="shared" si="15"/>
        <v/>
      </c>
      <c r="I135" s="328" t="str">
        <f t="shared" si="13"/>
        <v/>
      </c>
      <c r="J135" s="272">
        <f t="shared" si="16"/>
        <v>0</v>
      </c>
      <c r="K135" s="312">
        <f t="shared" si="14"/>
        <v>0</v>
      </c>
      <c r="L135" s="275"/>
      <c r="X135" s="277"/>
      <c r="Y135" s="267"/>
      <c r="Z135" s="267"/>
      <c r="AA135" s="266"/>
      <c r="AB135" s="266"/>
      <c r="AC135" s="266"/>
    </row>
    <row r="136" spans="2:29" s="268" customFormat="1" ht="12.75" x14ac:dyDescent="0.2">
      <c r="B136" s="278" t="s">
        <v>480</v>
      </c>
      <c r="C136" s="279"/>
      <c r="D136" s="2888"/>
      <c r="E136" s="2889"/>
      <c r="F136" s="270"/>
      <c r="G136" s="270"/>
      <c r="H136" s="311" t="str">
        <f t="shared" si="15"/>
        <v/>
      </c>
      <c r="I136" s="328" t="str">
        <f t="shared" si="13"/>
        <v/>
      </c>
      <c r="J136" s="272">
        <f t="shared" si="16"/>
        <v>0</v>
      </c>
      <c r="K136" s="312">
        <f t="shared" si="14"/>
        <v>0</v>
      </c>
      <c r="L136" s="275"/>
      <c r="X136" s="277"/>
      <c r="Y136" s="267"/>
      <c r="Z136" s="267"/>
      <c r="AA136" s="266"/>
      <c r="AB136" s="266"/>
      <c r="AC136" s="266"/>
    </row>
    <row r="137" spans="2:29" s="268" customFormat="1" ht="12.75" x14ac:dyDescent="0.2">
      <c r="B137" s="278" t="s">
        <v>481</v>
      </c>
      <c r="C137" s="279"/>
      <c r="D137" s="2888"/>
      <c r="E137" s="2889"/>
      <c r="F137" s="270"/>
      <c r="G137" s="270"/>
      <c r="H137" s="311" t="str">
        <f t="shared" si="15"/>
        <v/>
      </c>
      <c r="I137" s="328" t="str">
        <f t="shared" si="13"/>
        <v/>
      </c>
      <c r="J137" s="272">
        <f t="shared" si="16"/>
        <v>0</v>
      </c>
      <c r="K137" s="312">
        <f t="shared" si="14"/>
        <v>0</v>
      </c>
      <c r="L137" s="275"/>
      <c r="X137" s="277"/>
      <c r="Y137" s="267"/>
      <c r="Z137" s="267"/>
      <c r="AA137" s="266"/>
      <c r="AB137" s="266"/>
      <c r="AC137" s="266"/>
    </row>
    <row r="138" spans="2:29" s="268" customFormat="1" ht="12.75" x14ac:dyDescent="0.2">
      <c r="B138" s="278" t="s">
        <v>975</v>
      </c>
      <c r="C138" s="279"/>
      <c r="D138" s="2888"/>
      <c r="E138" s="2889"/>
      <c r="F138" s="270"/>
      <c r="G138" s="270"/>
      <c r="H138" s="311" t="str">
        <f t="shared" ref="H138:H147" si="17">IF(F138&lt;&gt;"",1,"")</f>
        <v/>
      </c>
      <c r="I138" s="328" t="str">
        <f t="shared" ref="I138:I147" si="18">IF(AND(F138&gt;0,F138&lt;=60),IF(AND(H138&lt;&gt;"",H138&lt;&gt;0),IF(H138&lt;=3,3*H138,(3*3)+((3*0.75)*(H138-3))),3),IF(AND(F138&gt;60,F138&lt;=100),IF(AND(H138&lt;&gt;"",H138&lt;&gt;0),IF(H138&lt;=3,3.75*H138,(3.75*3)+((3.75*0.75)*(H138-3))),3.75),IF(AND(F138&gt;100,F138&lt;=140),IF(AND(H138&lt;&gt;"",H138&lt;&gt;0),IF(H138&lt;=3,4.5*H138,(4.5*3)+((4.5*0.75)*(H138-3))),4.5),IF(AND(F138&gt;140,F138&lt;=180),IF(AND(H138&lt;&gt;"",H138&lt;&gt;0),IF(H138&lt;=3,5.25*H138,(5.25*3)+((5.25*0.75)*(H138-3))),5.25),IF(AND(F138&gt;180,F138&lt;=220),IF(AND(H138&lt;&gt;"",H138&lt;&gt;0),IF(H138&lt;=3,6*H138,(6*3)+((6*0.75)*(H138-3))),6),"")))))&amp;IF(AND(F138&gt;220,F138&lt;=260),IF(AND(H138&lt;&gt;"",H138&lt;&gt;0),IF(H138&lt;=3,6.75*H138,(6.75*3)+((6.75*0.75)*(H138-3))),6.75),IF(AND(F138&gt;260,F138&lt;=300),IF(AND(H138&lt;&gt;"",H138&lt;&gt;0),IF(H138&lt;=3,7.5*H138,(7.5*3)+((7.5*0.75)*(H138-3))),7.5),IF(AND(F138&gt;300,F138&lt;=340),IF(AND(H138&lt;&gt;"",H138&lt;&gt;0),IF(H138&lt;=3,8.25*H138,(8.25*3)+((8.25*0.75)*(H138-3))),8.25),IF(F138&gt;340,IF(AND(H138&lt;&gt;"",H138&lt;&gt;0),IF(H138&lt;=3,9*H138,(9*3)+((9*0.75)*(H138-3))),9),""))))</f>
        <v/>
      </c>
      <c r="J138" s="272">
        <f t="shared" ref="J138:J147" si="19">IF(AND(F138&lt;&gt;"",F138&lt;&gt;0),IF(AND(G138&lt;&gt;"",G138&lt;&gt;0),G138*I138,0),0)</f>
        <v>0</v>
      </c>
      <c r="K138" s="312">
        <f t="shared" ref="K138:K147" si="20">J138/15</f>
        <v>0</v>
      </c>
      <c r="L138" s="275"/>
      <c r="X138" s="277"/>
      <c r="Y138" s="267"/>
      <c r="Z138" s="267"/>
      <c r="AA138" s="266"/>
      <c r="AB138" s="266"/>
      <c r="AC138" s="266"/>
    </row>
    <row r="139" spans="2:29" s="268" customFormat="1" ht="12.75" x14ac:dyDescent="0.2">
      <c r="B139" s="278" t="s">
        <v>976</v>
      </c>
      <c r="C139" s="279"/>
      <c r="D139" s="2888"/>
      <c r="E139" s="2889"/>
      <c r="F139" s="270"/>
      <c r="G139" s="270"/>
      <c r="H139" s="311" t="str">
        <f t="shared" si="17"/>
        <v/>
      </c>
      <c r="I139" s="328" t="str">
        <f t="shared" si="18"/>
        <v/>
      </c>
      <c r="J139" s="272">
        <f t="shared" si="19"/>
        <v>0</v>
      </c>
      <c r="K139" s="312">
        <f t="shared" si="20"/>
        <v>0</v>
      </c>
      <c r="L139" s="275"/>
      <c r="X139" s="277"/>
      <c r="Y139" s="267"/>
      <c r="Z139" s="267"/>
      <c r="AA139" s="266"/>
      <c r="AB139" s="266"/>
      <c r="AC139" s="266"/>
    </row>
    <row r="140" spans="2:29" s="268" customFormat="1" ht="12.75" x14ac:dyDescent="0.2">
      <c r="B140" s="278" t="s">
        <v>977</v>
      </c>
      <c r="C140" s="279"/>
      <c r="D140" s="2888"/>
      <c r="E140" s="2889"/>
      <c r="F140" s="270"/>
      <c r="G140" s="270"/>
      <c r="H140" s="311" t="str">
        <f t="shared" si="17"/>
        <v/>
      </c>
      <c r="I140" s="328" t="str">
        <f t="shared" si="18"/>
        <v/>
      </c>
      <c r="J140" s="272">
        <f t="shared" si="19"/>
        <v>0</v>
      </c>
      <c r="K140" s="312">
        <f t="shared" si="20"/>
        <v>0</v>
      </c>
      <c r="L140" s="275"/>
      <c r="X140" s="277"/>
      <c r="Y140" s="267"/>
      <c r="Z140" s="267"/>
      <c r="AA140" s="266"/>
      <c r="AB140" s="266"/>
      <c r="AC140" s="266"/>
    </row>
    <row r="141" spans="2:29" s="268" customFormat="1" ht="12.75" x14ac:dyDescent="0.2">
      <c r="B141" s="278" t="s">
        <v>978</v>
      </c>
      <c r="C141" s="279"/>
      <c r="D141" s="2888"/>
      <c r="E141" s="2889"/>
      <c r="F141" s="270"/>
      <c r="G141" s="270"/>
      <c r="H141" s="311" t="str">
        <f t="shared" si="17"/>
        <v/>
      </c>
      <c r="I141" s="328" t="str">
        <f t="shared" si="18"/>
        <v/>
      </c>
      <c r="J141" s="272">
        <f t="shared" si="19"/>
        <v>0</v>
      </c>
      <c r="K141" s="312">
        <f t="shared" si="20"/>
        <v>0</v>
      </c>
      <c r="L141" s="281"/>
      <c r="X141" s="277"/>
      <c r="Y141" s="267"/>
      <c r="Z141" s="267"/>
      <c r="AA141" s="266"/>
      <c r="AB141" s="266"/>
      <c r="AC141" s="266"/>
    </row>
    <row r="142" spans="2:29" s="268" customFormat="1" ht="12.75" x14ac:dyDescent="0.2">
      <c r="B142" s="278" t="s">
        <v>979</v>
      </c>
      <c r="C142" s="279"/>
      <c r="D142" s="2888"/>
      <c r="E142" s="2889"/>
      <c r="F142" s="270"/>
      <c r="G142" s="270"/>
      <c r="H142" s="311" t="str">
        <f t="shared" si="17"/>
        <v/>
      </c>
      <c r="I142" s="328" t="str">
        <f t="shared" si="18"/>
        <v/>
      </c>
      <c r="J142" s="272">
        <f t="shared" si="19"/>
        <v>0</v>
      </c>
      <c r="K142" s="312">
        <f t="shared" si="20"/>
        <v>0</v>
      </c>
      <c r="L142" s="275"/>
      <c r="X142" s="277"/>
      <c r="Y142" s="267"/>
      <c r="Z142" s="267"/>
      <c r="AA142" s="266"/>
      <c r="AB142" s="266"/>
      <c r="AC142" s="266"/>
    </row>
    <row r="143" spans="2:29" s="268" customFormat="1" ht="12.75" x14ac:dyDescent="0.2">
      <c r="B143" s="278" t="s">
        <v>980</v>
      </c>
      <c r="C143" s="279"/>
      <c r="D143" s="2888"/>
      <c r="E143" s="2889"/>
      <c r="F143" s="270"/>
      <c r="G143" s="270"/>
      <c r="H143" s="311" t="str">
        <f t="shared" si="17"/>
        <v/>
      </c>
      <c r="I143" s="328" t="str">
        <f t="shared" si="18"/>
        <v/>
      </c>
      <c r="J143" s="272">
        <f t="shared" si="19"/>
        <v>0</v>
      </c>
      <c r="K143" s="312">
        <f t="shared" si="20"/>
        <v>0</v>
      </c>
      <c r="L143" s="275"/>
      <c r="X143" s="277"/>
      <c r="Y143" s="267"/>
      <c r="Z143" s="267"/>
      <c r="AA143" s="266"/>
      <c r="AB143" s="266"/>
      <c r="AC143" s="266"/>
    </row>
    <row r="144" spans="2:29" s="268" customFormat="1" ht="12.75" x14ac:dyDescent="0.2">
      <c r="B144" s="278" t="s">
        <v>981</v>
      </c>
      <c r="C144" s="279"/>
      <c r="D144" s="2888"/>
      <c r="E144" s="2889"/>
      <c r="F144" s="270"/>
      <c r="G144" s="270"/>
      <c r="H144" s="311" t="str">
        <f t="shared" si="17"/>
        <v/>
      </c>
      <c r="I144" s="328" t="str">
        <f t="shared" si="18"/>
        <v/>
      </c>
      <c r="J144" s="272">
        <f t="shared" si="19"/>
        <v>0</v>
      </c>
      <c r="K144" s="312">
        <f t="shared" si="20"/>
        <v>0</v>
      </c>
      <c r="L144" s="275"/>
      <c r="X144" s="277"/>
      <c r="Y144" s="267"/>
      <c r="Z144" s="267"/>
      <c r="AA144" s="266"/>
      <c r="AB144" s="266"/>
      <c r="AC144" s="266"/>
    </row>
    <row r="145" spans="2:29" s="268" customFormat="1" ht="12.75" x14ac:dyDescent="0.2">
      <c r="B145" s="278" t="s">
        <v>982</v>
      </c>
      <c r="C145" s="279"/>
      <c r="D145" s="2888"/>
      <c r="E145" s="2889"/>
      <c r="F145" s="270"/>
      <c r="G145" s="270"/>
      <c r="H145" s="311" t="str">
        <f t="shared" si="17"/>
        <v/>
      </c>
      <c r="I145" s="328" t="str">
        <f t="shared" si="18"/>
        <v/>
      </c>
      <c r="J145" s="272">
        <f t="shared" si="19"/>
        <v>0</v>
      </c>
      <c r="K145" s="312">
        <f t="shared" si="20"/>
        <v>0</v>
      </c>
      <c r="L145" s="275"/>
      <c r="X145" s="277"/>
      <c r="Y145" s="267"/>
      <c r="Z145" s="267"/>
      <c r="AA145" s="266"/>
      <c r="AB145" s="266"/>
      <c r="AC145" s="266"/>
    </row>
    <row r="146" spans="2:29" s="268" customFormat="1" ht="12.75" x14ac:dyDescent="0.2">
      <c r="B146" s="278" t="s">
        <v>983</v>
      </c>
      <c r="C146" s="279"/>
      <c r="D146" s="2888"/>
      <c r="E146" s="2889"/>
      <c r="F146" s="270"/>
      <c r="G146" s="270"/>
      <c r="H146" s="311" t="str">
        <f t="shared" si="17"/>
        <v/>
      </c>
      <c r="I146" s="328" t="str">
        <f t="shared" si="18"/>
        <v/>
      </c>
      <c r="J146" s="272">
        <f t="shared" si="19"/>
        <v>0</v>
      </c>
      <c r="K146" s="312">
        <f t="shared" si="20"/>
        <v>0</v>
      </c>
      <c r="L146" s="275"/>
      <c r="X146" s="277"/>
      <c r="Y146" s="267"/>
      <c r="Z146" s="267"/>
      <c r="AA146" s="266"/>
      <c r="AB146" s="266"/>
      <c r="AC146" s="266"/>
    </row>
    <row r="147" spans="2:29" s="268" customFormat="1" ht="12.75" x14ac:dyDescent="0.2">
      <c r="B147" s="1412" t="s">
        <v>984</v>
      </c>
      <c r="C147" s="279"/>
      <c r="D147" s="2904"/>
      <c r="E147" s="2889"/>
      <c r="F147" s="270"/>
      <c r="G147" s="270"/>
      <c r="H147" s="311" t="str">
        <f t="shared" si="17"/>
        <v/>
      </c>
      <c r="I147" s="328" t="str">
        <f t="shared" si="18"/>
        <v/>
      </c>
      <c r="J147" s="272">
        <f t="shared" si="19"/>
        <v>0</v>
      </c>
      <c r="K147" s="312">
        <f t="shared" si="20"/>
        <v>0</v>
      </c>
      <c r="L147" s="275"/>
      <c r="X147" s="277"/>
      <c r="Y147" s="267"/>
      <c r="Z147" s="267"/>
      <c r="AA147" s="266"/>
      <c r="AB147" s="266"/>
      <c r="AC147" s="266"/>
    </row>
    <row r="148" spans="2:29" s="214" customFormat="1" ht="21" customHeight="1" x14ac:dyDescent="0.2">
      <c r="B148" s="329"/>
      <c r="C148" s="330"/>
      <c r="D148" s="331"/>
      <c r="E148" s="332"/>
      <c r="F148" s="333"/>
      <c r="G148" s="333"/>
      <c r="H148" s="333"/>
      <c r="I148" s="334" t="s">
        <v>283</v>
      </c>
      <c r="J148" s="335">
        <f>SUM(J108:J147)</f>
        <v>0</v>
      </c>
      <c r="K148" s="336">
        <f>SUM(K108:K147)</f>
        <v>0</v>
      </c>
      <c r="L148" s="337"/>
      <c r="X148" s="222"/>
      <c r="Y148" s="222"/>
      <c r="Z148" s="222"/>
    </row>
    <row r="149" spans="2:29" s="214" customFormat="1" ht="21" customHeight="1" x14ac:dyDescent="0.2">
      <c r="B149" s="323"/>
      <c r="C149" s="231" t="s">
        <v>485</v>
      </c>
      <c r="D149" s="324"/>
      <c r="E149" s="233"/>
      <c r="F149" s="326"/>
      <c r="G149" s="234" t="s">
        <v>437</v>
      </c>
      <c r="H149" s="325"/>
      <c r="I149" s="325"/>
      <c r="J149" s="235"/>
      <c r="K149" s="301"/>
      <c r="L149" s="237"/>
      <c r="X149" s="222"/>
      <c r="Y149" s="222"/>
      <c r="Z149" s="222"/>
    </row>
    <row r="150" spans="2:29" ht="14.25" customHeight="1" x14ac:dyDescent="0.2">
      <c r="B150" s="238"/>
      <c r="C150" s="239" t="s">
        <v>438</v>
      </c>
      <c r="D150" s="2937" t="s">
        <v>439</v>
      </c>
      <c r="E150" s="2938"/>
      <c r="F150" s="2939"/>
      <c r="G150" s="240" t="s">
        <v>440</v>
      </c>
      <c r="H150" s="242" t="s">
        <v>280</v>
      </c>
      <c r="I150" s="243" t="s">
        <v>442</v>
      </c>
      <c r="J150" s="243" t="s">
        <v>443</v>
      </c>
      <c r="K150" s="244" t="s">
        <v>443</v>
      </c>
      <c r="L150" s="245"/>
    </row>
    <row r="151" spans="2:29" x14ac:dyDescent="0.2">
      <c r="B151" s="302"/>
      <c r="C151" s="303"/>
      <c r="D151" s="2901" t="s">
        <v>972</v>
      </c>
      <c r="E151" s="2902"/>
      <c r="F151" s="2903"/>
      <c r="G151" s="304" t="s">
        <v>445</v>
      </c>
      <c r="H151" s="305" t="s">
        <v>447</v>
      </c>
      <c r="I151" s="251" t="s">
        <v>448</v>
      </c>
      <c r="J151" s="251" t="s">
        <v>445</v>
      </c>
      <c r="K151" s="244" t="s">
        <v>315</v>
      </c>
      <c r="L151" s="252"/>
    </row>
    <row r="152" spans="2:29" x14ac:dyDescent="0.2">
      <c r="B152" s="253"/>
      <c r="C152" s="306"/>
      <c r="D152" s="2898" t="s">
        <v>1017</v>
      </c>
      <c r="E152" s="2899"/>
      <c r="F152" s="2900"/>
      <c r="G152" s="255"/>
      <c r="H152" s="338"/>
      <c r="I152" s="258"/>
      <c r="J152" s="258"/>
      <c r="K152" s="259"/>
      <c r="L152" s="260"/>
    </row>
    <row r="153" spans="2:29" s="261" customFormat="1" x14ac:dyDescent="0.2">
      <c r="B153" s="262" t="s">
        <v>450</v>
      </c>
      <c r="C153" s="263" t="s">
        <v>484</v>
      </c>
      <c r="D153" s="2905" t="s">
        <v>985</v>
      </c>
      <c r="E153" s="2949"/>
      <c r="F153" s="2906"/>
      <c r="G153" s="339">
        <v>45</v>
      </c>
      <c r="H153" s="264">
        <v>1</v>
      </c>
      <c r="I153" s="263">
        <f t="shared" ref="I153:I183" si="21">IF(AND(H153&lt;&gt;"",H153&lt;&gt;0),IF(H153&lt;=3,1.7*H153,(1.7*3)+((1.7*0.75)*(H153-3))),1.7)</f>
        <v>1.7</v>
      </c>
      <c r="J153" s="309">
        <f t="shared" ref="J153:J183" si="22">IF(AND(H153&lt;&gt;"",H153&lt;&gt;0),IF(X153&gt;="5",H153*G153*I153,G153*I153),0)</f>
        <v>76.5</v>
      </c>
      <c r="K153" s="310">
        <f t="shared" ref="K153:K183" si="23">J153/15</f>
        <v>5.0999999999999996</v>
      </c>
      <c r="L153" s="265"/>
      <c r="Q153" s="266"/>
      <c r="R153" s="266"/>
      <c r="S153" s="266"/>
      <c r="T153" s="266"/>
      <c r="U153" s="266"/>
      <c r="V153" s="266"/>
      <c r="W153" s="266"/>
      <c r="X153" s="267"/>
      <c r="Y153" s="267"/>
      <c r="Z153" s="267"/>
      <c r="AA153" s="266"/>
      <c r="AB153" s="266"/>
      <c r="AC153" s="266"/>
    </row>
    <row r="154" spans="2:29" s="268" customFormat="1" ht="12.75" x14ac:dyDescent="0.2">
      <c r="B154" s="278" t="s">
        <v>452</v>
      </c>
      <c r="C154" s="279"/>
      <c r="D154" s="2888"/>
      <c r="E154" s="2893"/>
      <c r="F154" s="2889"/>
      <c r="G154" s="270"/>
      <c r="H154" s="311" t="str">
        <f>IF(G154&lt;&gt;"",1,"")</f>
        <v/>
      </c>
      <c r="I154" s="328">
        <f t="shared" si="21"/>
        <v>1.7</v>
      </c>
      <c r="J154" s="272">
        <f t="shared" si="22"/>
        <v>0</v>
      </c>
      <c r="K154" s="312">
        <f t="shared" si="23"/>
        <v>0</v>
      </c>
      <c r="L154" s="275"/>
      <c r="X154" s="277"/>
      <c r="Y154" s="267"/>
      <c r="Z154" s="267"/>
      <c r="AA154" s="266"/>
      <c r="AB154" s="266"/>
      <c r="AC154" s="266"/>
    </row>
    <row r="155" spans="2:29" s="268" customFormat="1" ht="12.75" x14ac:dyDescent="0.2">
      <c r="B155" s="278" t="s">
        <v>453</v>
      </c>
      <c r="C155" s="279"/>
      <c r="D155" s="2904"/>
      <c r="E155" s="2893"/>
      <c r="F155" s="2889"/>
      <c r="G155" s="270"/>
      <c r="H155" s="311" t="str">
        <f t="shared" ref="H155:H173" si="24">IF(G155&lt;&gt;"",1,"")</f>
        <v/>
      </c>
      <c r="I155" s="328">
        <f t="shared" si="21"/>
        <v>1.7</v>
      </c>
      <c r="J155" s="272">
        <f t="shared" si="22"/>
        <v>0</v>
      </c>
      <c r="K155" s="312">
        <f t="shared" si="23"/>
        <v>0</v>
      </c>
      <c r="L155" s="275"/>
      <c r="X155" s="277"/>
      <c r="Y155" s="267"/>
      <c r="Z155" s="267"/>
      <c r="AA155" s="266"/>
      <c r="AB155" s="266"/>
      <c r="AC155" s="266"/>
    </row>
    <row r="156" spans="2:29" s="268" customFormat="1" ht="12.75" x14ac:dyDescent="0.2">
      <c r="B156" s="278" t="s">
        <v>454</v>
      </c>
      <c r="C156" s="279"/>
      <c r="D156" s="2888"/>
      <c r="E156" s="2893"/>
      <c r="F156" s="2889"/>
      <c r="G156" s="270"/>
      <c r="H156" s="311" t="str">
        <f t="shared" si="24"/>
        <v/>
      </c>
      <c r="I156" s="328">
        <f t="shared" si="21"/>
        <v>1.7</v>
      </c>
      <c r="J156" s="272">
        <f t="shared" si="22"/>
        <v>0</v>
      </c>
      <c r="K156" s="312">
        <f t="shared" si="23"/>
        <v>0</v>
      </c>
      <c r="L156" s="275"/>
      <c r="X156" s="277"/>
      <c r="Y156" s="267"/>
      <c r="Z156" s="267"/>
      <c r="AA156" s="266"/>
      <c r="AB156" s="266"/>
      <c r="AC156" s="266"/>
    </row>
    <row r="157" spans="2:29" s="268" customFormat="1" ht="12.75" x14ac:dyDescent="0.2">
      <c r="B157" s="278" t="s">
        <v>455</v>
      </c>
      <c r="C157" s="279"/>
      <c r="D157" s="2888"/>
      <c r="E157" s="2893"/>
      <c r="F157" s="2889"/>
      <c r="G157" s="270"/>
      <c r="H157" s="311" t="str">
        <f t="shared" si="24"/>
        <v/>
      </c>
      <c r="I157" s="328">
        <f t="shared" si="21"/>
        <v>1.7</v>
      </c>
      <c r="J157" s="272">
        <f t="shared" si="22"/>
        <v>0</v>
      </c>
      <c r="K157" s="312">
        <f t="shared" si="23"/>
        <v>0</v>
      </c>
      <c r="L157" s="281"/>
      <c r="X157" s="277"/>
      <c r="Y157" s="267"/>
      <c r="Z157" s="267"/>
      <c r="AA157" s="266"/>
      <c r="AB157" s="266"/>
      <c r="AC157" s="266"/>
    </row>
    <row r="158" spans="2:29" s="268" customFormat="1" ht="12.75" x14ac:dyDescent="0.2">
      <c r="B158" s="278" t="s">
        <v>456</v>
      </c>
      <c r="C158" s="279"/>
      <c r="D158" s="2888"/>
      <c r="E158" s="2893"/>
      <c r="F158" s="2889"/>
      <c r="G158" s="270"/>
      <c r="H158" s="311" t="str">
        <f t="shared" si="24"/>
        <v/>
      </c>
      <c r="I158" s="328">
        <f t="shared" si="21"/>
        <v>1.7</v>
      </c>
      <c r="J158" s="272">
        <f t="shared" si="22"/>
        <v>0</v>
      </c>
      <c r="K158" s="312">
        <f t="shared" si="23"/>
        <v>0</v>
      </c>
      <c r="L158" s="275"/>
      <c r="X158" s="277"/>
      <c r="Y158" s="267"/>
      <c r="Z158" s="267"/>
      <c r="AA158" s="266"/>
      <c r="AB158" s="266"/>
      <c r="AC158" s="266"/>
    </row>
    <row r="159" spans="2:29" s="268" customFormat="1" ht="12.75" x14ac:dyDescent="0.2">
      <c r="B159" s="278" t="s">
        <v>457</v>
      </c>
      <c r="C159" s="279"/>
      <c r="D159" s="2888"/>
      <c r="E159" s="2893"/>
      <c r="F159" s="2889"/>
      <c r="G159" s="270"/>
      <c r="H159" s="311" t="str">
        <f t="shared" si="24"/>
        <v/>
      </c>
      <c r="I159" s="328">
        <f t="shared" si="21"/>
        <v>1.7</v>
      </c>
      <c r="J159" s="272">
        <f t="shared" si="22"/>
        <v>0</v>
      </c>
      <c r="K159" s="312">
        <f t="shared" si="23"/>
        <v>0</v>
      </c>
      <c r="L159" s="275"/>
      <c r="X159" s="277"/>
      <c r="Y159" s="267"/>
      <c r="Z159" s="267"/>
      <c r="AA159" s="266"/>
      <c r="AB159" s="266"/>
      <c r="AC159" s="266"/>
    </row>
    <row r="160" spans="2:29" s="268" customFormat="1" ht="12.75" x14ac:dyDescent="0.2">
      <c r="B160" s="278" t="s">
        <v>458</v>
      </c>
      <c r="C160" s="279"/>
      <c r="D160" s="2888"/>
      <c r="E160" s="2893"/>
      <c r="F160" s="2889"/>
      <c r="G160" s="270"/>
      <c r="H160" s="311" t="str">
        <f t="shared" si="24"/>
        <v/>
      </c>
      <c r="I160" s="328">
        <f t="shared" si="21"/>
        <v>1.7</v>
      </c>
      <c r="J160" s="272">
        <f t="shared" si="22"/>
        <v>0</v>
      </c>
      <c r="K160" s="312">
        <f t="shared" si="23"/>
        <v>0</v>
      </c>
      <c r="L160" s="275"/>
      <c r="X160" s="277"/>
      <c r="Y160" s="267"/>
      <c r="Z160" s="267"/>
      <c r="AA160" s="266"/>
      <c r="AB160" s="266"/>
      <c r="AC160" s="266"/>
    </row>
    <row r="161" spans="2:29" s="268" customFormat="1" ht="12.75" x14ac:dyDescent="0.2">
      <c r="B161" s="278" t="s">
        <v>459</v>
      </c>
      <c r="C161" s="279"/>
      <c r="D161" s="2888"/>
      <c r="E161" s="2893"/>
      <c r="F161" s="2889"/>
      <c r="G161" s="270"/>
      <c r="H161" s="311" t="str">
        <f t="shared" si="24"/>
        <v/>
      </c>
      <c r="I161" s="328">
        <f t="shared" si="21"/>
        <v>1.7</v>
      </c>
      <c r="J161" s="272">
        <f t="shared" si="22"/>
        <v>0</v>
      </c>
      <c r="K161" s="312">
        <f t="shared" si="23"/>
        <v>0</v>
      </c>
      <c r="L161" s="275"/>
      <c r="X161" s="277"/>
      <c r="Y161" s="267"/>
      <c r="Z161" s="267"/>
      <c r="AA161" s="266"/>
      <c r="AB161" s="266"/>
      <c r="AC161" s="266"/>
    </row>
    <row r="162" spans="2:29" s="268" customFormat="1" ht="12.75" x14ac:dyDescent="0.2">
      <c r="B162" s="278" t="s">
        <v>460</v>
      </c>
      <c r="C162" s="279"/>
      <c r="D162" s="2888"/>
      <c r="E162" s="2893"/>
      <c r="F162" s="2889"/>
      <c r="G162" s="270"/>
      <c r="H162" s="311" t="str">
        <f t="shared" si="24"/>
        <v/>
      </c>
      <c r="I162" s="328">
        <f t="shared" si="21"/>
        <v>1.7</v>
      </c>
      <c r="J162" s="272">
        <f t="shared" si="22"/>
        <v>0</v>
      </c>
      <c r="K162" s="312">
        <f t="shared" si="23"/>
        <v>0</v>
      </c>
      <c r="L162" s="275"/>
      <c r="X162" s="277"/>
      <c r="Y162" s="267"/>
      <c r="Z162" s="267"/>
      <c r="AA162" s="266"/>
      <c r="AB162" s="266"/>
      <c r="AC162" s="266"/>
    </row>
    <row r="163" spans="2:29" s="268" customFormat="1" ht="12.75" x14ac:dyDescent="0.2">
      <c r="B163" s="278" t="s">
        <v>461</v>
      </c>
      <c r="C163" s="279"/>
      <c r="D163" s="2888"/>
      <c r="E163" s="2893"/>
      <c r="F163" s="2889"/>
      <c r="G163" s="270"/>
      <c r="H163" s="311" t="str">
        <f t="shared" si="24"/>
        <v/>
      </c>
      <c r="I163" s="328">
        <f t="shared" si="21"/>
        <v>1.7</v>
      </c>
      <c r="J163" s="272">
        <f t="shared" si="22"/>
        <v>0</v>
      </c>
      <c r="K163" s="312">
        <f t="shared" si="23"/>
        <v>0</v>
      </c>
      <c r="L163" s="275"/>
      <c r="X163" s="277"/>
      <c r="Y163" s="267"/>
      <c r="Z163" s="267"/>
      <c r="AA163" s="266"/>
      <c r="AB163" s="266"/>
      <c r="AC163" s="266"/>
    </row>
    <row r="164" spans="2:29" s="268" customFormat="1" ht="12.75" x14ac:dyDescent="0.2">
      <c r="B164" s="278" t="s">
        <v>462</v>
      </c>
      <c r="C164" s="279"/>
      <c r="D164" s="2888"/>
      <c r="E164" s="2893"/>
      <c r="F164" s="2889"/>
      <c r="G164" s="270"/>
      <c r="H164" s="311" t="str">
        <f>IF(G164&lt;&gt;"",1,"")</f>
        <v/>
      </c>
      <c r="I164" s="328">
        <f t="shared" si="21"/>
        <v>1.7</v>
      </c>
      <c r="J164" s="272">
        <f t="shared" si="22"/>
        <v>0</v>
      </c>
      <c r="K164" s="312">
        <f t="shared" si="23"/>
        <v>0</v>
      </c>
      <c r="L164" s="275"/>
      <c r="X164" s="277"/>
      <c r="Y164" s="267"/>
      <c r="Z164" s="267"/>
      <c r="AA164" s="266"/>
      <c r="AB164" s="266"/>
      <c r="AC164" s="266"/>
    </row>
    <row r="165" spans="2:29" s="268" customFormat="1" ht="12.75" x14ac:dyDescent="0.2">
      <c r="B165" s="278" t="s">
        <v>463</v>
      </c>
      <c r="C165" s="279"/>
      <c r="D165" s="2888"/>
      <c r="E165" s="2893"/>
      <c r="F165" s="2889"/>
      <c r="G165" s="270"/>
      <c r="H165" s="311" t="str">
        <f t="shared" si="24"/>
        <v/>
      </c>
      <c r="I165" s="328">
        <f t="shared" si="21"/>
        <v>1.7</v>
      </c>
      <c r="J165" s="272">
        <f t="shared" si="22"/>
        <v>0</v>
      </c>
      <c r="K165" s="312">
        <f t="shared" si="23"/>
        <v>0</v>
      </c>
      <c r="L165" s="275"/>
      <c r="X165" s="277"/>
      <c r="Y165" s="267"/>
      <c r="Z165" s="267"/>
      <c r="AA165" s="266"/>
      <c r="AB165" s="266"/>
      <c r="AC165" s="266"/>
    </row>
    <row r="166" spans="2:29" s="268" customFormat="1" ht="12.75" x14ac:dyDescent="0.2">
      <c r="B166" s="278" t="s">
        <v>464</v>
      </c>
      <c r="C166" s="279"/>
      <c r="D166" s="2888"/>
      <c r="E166" s="2893"/>
      <c r="F166" s="2889"/>
      <c r="G166" s="270"/>
      <c r="H166" s="311" t="str">
        <f t="shared" si="24"/>
        <v/>
      </c>
      <c r="I166" s="328">
        <f t="shared" si="21"/>
        <v>1.7</v>
      </c>
      <c r="J166" s="272">
        <f t="shared" si="22"/>
        <v>0</v>
      </c>
      <c r="K166" s="312">
        <f t="shared" si="23"/>
        <v>0</v>
      </c>
      <c r="L166" s="275"/>
      <c r="X166" s="277"/>
      <c r="Y166" s="267"/>
      <c r="Z166" s="267"/>
      <c r="AA166" s="266"/>
      <c r="AB166" s="266"/>
      <c r="AC166" s="266"/>
    </row>
    <row r="167" spans="2:29" s="268" customFormat="1" ht="12.75" x14ac:dyDescent="0.2">
      <c r="B167" s="278" t="s">
        <v>465</v>
      </c>
      <c r="C167" s="279"/>
      <c r="D167" s="2888"/>
      <c r="E167" s="2893"/>
      <c r="F167" s="2889"/>
      <c r="G167" s="270"/>
      <c r="H167" s="311" t="str">
        <f t="shared" si="24"/>
        <v/>
      </c>
      <c r="I167" s="328">
        <f t="shared" si="21"/>
        <v>1.7</v>
      </c>
      <c r="J167" s="272">
        <f t="shared" si="22"/>
        <v>0</v>
      </c>
      <c r="K167" s="312">
        <f t="shared" si="23"/>
        <v>0</v>
      </c>
      <c r="L167" s="281"/>
      <c r="X167" s="277"/>
      <c r="Y167" s="267"/>
      <c r="Z167" s="267"/>
      <c r="AA167" s="266"/>
      <c r="AB167" s="266"/>
      <c r="AC167" s="266"/>
    </row>
    <row r="168" spans="2:29" s="268" customFormat="1" ht="12.75" x14ac:dyDescent="0.2">
      <c r="B168" s="278" t="s">
        <v>466</v>
      </c>
      <c r="C168" s="279"/>
      <c r="D168" s="2888"/>
      <c r="E168" s="2893"/>
      <c r="F168" s="2889"/>
      <c r="G168" s="270"/>
      <c r="H168" s="311" t="str">
        <f t="shared" si="24"/>
        <v/>
      </c>
      <c r="I168" s="328">
        <f t="shared" si="21"/>
        <v>1.7</v>
      </c>
      <c r="J168" s="272">
        <f t="shared" si="22"/>
        <v>0</v>
      </c>
      <c r="K168" s="312">
        <f t="shared" si="23"/>
        <v>0</v>
      </c>
      <c r="L168" s="275"/>
      <c r="X168" s="277"/>
      <c r="Y168" s="267"/>
      <c r="Z168" s="267"/>
      <c r="AA168" s="266"/>
      <c r="AB168" s="266"/>
      <c r="AC168" s="266"/>
    </row>
    <row r="169" spans="2:29" s="268" customFormat="1" ht="12.75" x14ac:dyDescent="0.2">
      <c r="B169" s="278" t="s">
        <v>467</v>
      </c>
      <c r="C169" s="279"/>
      <c r="D169" s="2888"/>
      <c r="E169" s="2893"/>
      <c r="F169" s="2889"/>
      <c r="G169" s="270"/>
      <c r="H169" s="311" t="str">
        <f t="shared" si="24"/>
        <v/>
      </c>
      <c r="I169" s="328">
        <f t="shared" si="21"/>
        <v>1.7</v>
      </c>
      <c r="J169" s="272">
        <f t="shared" si="22"/>
        <v>0</v>
      </c>
      <c r="K169" s="312">
        <f t="shared" si="23"/>
        <v>0</v>
      </c>
      <c r="L169" s="275"/>
      <c r="X169" s="277"/>
      <c r="Y169" s="267"/>
      <c r="Z169" s="267"/>
      <c r="AA169" s="266"/>
      <c r="AB169" s="266"/>
      <c r="AC169" s="266"/>
    </row>
    <row r="170" spans="2:29" s="268" customFormat="1" ht="12.75" x14ac:dyDescent="0.2">
      <c r="B170" s="278" t="s">
        <v>468</v>
      </c>
      <c r="C170" s="279"/>
      <c r="D170" s="2888"/>
      <c r="E170" s="2893"/>
      <c r="F170" s="2889"/>
      <c r="G170" s="270"/>
      <c r="H170" s="311" t="str">
        <f t="shared" si="24"/>
        <v/>
      </c>
      <c r="I170" s="328">
        <f t="shared" si="21"/>
        <v>1.7</v>
      </c>
      <c r="J170" s="272">
        <f t="shared" si="22"/>
        <v>0</v>
      </c>
      <c r="K170" s="312">
        <f t="shared" si="23"/>
        <v>0</v>
      </c>
      <c r="L170" s="275"/>
      <c r="X170" s="277"/>
      <c r="Y170" s="267"/>
      <c r="Z170" s="267"/>
      <c r="AA170" s="266"/>
      <c r="AB170" s="266"/>
      <c r="AC170" s="266"/>
    </row>
    <row r="171" spans="2:29" s="268" customFormat="1" ht="12.75" x14ac:dyDescent="0.2">
      <c r="B171" s="278" t="s">
        <v>469</v>
      </c>
      <c r="C171" s="279"/>
      <c r="D171" s="2888"/>
      <c r="E171" s="2893"/>
      <c r="F171" s="2889"/>
      <c r="G171" s="270"/>
      <c r="H171" s="311" t="str">
        <f t="shared" si="24"/>
        <v/>
      </c>
      <c r="I171" s="328">
        <f t="shared" si="21"/>
        <v>1.7</v>
      </c>
      <c r="J171" s="272">
        <f t="shared" si="22"/>
        <v>0</v>
      </c>
      <c r="K171" s="312">
        <f t="shared" si="23"/>
        <v>0</v>
      </c>
      <c r="L171" s="275"/>
      <c r="X171" s="277"/>
      <c r="Y171" s="267"/>
      <c r="Z171" s="267"/>
      <c r="AA171" s="266"/>
      <c r="AB171" s="266"/>
      <c r="AC171" s="266"/>
    </row>
    <row r="172" spans="2:29" s="268" customFormat="1" ht="12.75" x14ac:dyDescent="0.2">
      <c r="B172" s="1467" t="s">
        <v>470</v>
      </c>
      <c r="C172" s="1454"/>
      <c r="D172" s="2890"/>
      <c r="E172" s="2891"/>
      <c r="F172" s="2892"/>
      <c r="G172" s="1454"/>
      <c r="H172" s="1455" t="str">
        <f t="shared" si="24"/>
        <v/>
      </c>
      <c r="I172" s="1469">
        <f t="shared" si="21"/>
        <v>1.7</v>
      </c>
      <c r="J172" s="1456">
        <f t="shared" si="22"/>
        <v>0</v>
      </c>
      <c r="K172" s="1468">
        <f t="shared" si="23"/>
        <v>0</v>
      </c>
      <c r="L172" s="275"/>
      <c r="X172" s="277"/>
      <c r="Y172" s="267"/>
      <c r="Z172" s="267"/>
      <c r="AA172" s="266"/>
      <c r="AB172" s="266"/>
      <c r="AC172" s="266"/>
    </row>
    <row r="173" spans="2:29" s="268" customFormat="1" ht="12.75" x14ac:dyDescent="0.2">
      <c r="B173" s="1465" t="s">
        <v>471</v>
      </c>
      <c r="C173" s="1460"/>
      <c r="D173" s="2896"/>
      <c r="E173" s="2948"/>
      <c r="F173" s="2897"/>
      <c r="G173" s="1460"/>
      <c r="H173" s="1461" t="str">
        <f t="shared" si="24"/>
        <v/>
      </c>
      <c r="I173" s="1470">
        <f t="shared" si="21"/>
        <v>1.7</v>
      </c>
      <c r="J173" s="1462">
        <f t="shared" si="22"/>
        <v>0</v>
      </c>
      <c r="K173" s="1466">
        <f t="shared" si="23"/>
        <v>0</v>
      </c>
      <c r="L173" s="275"/>
      <c r="X173" s="277"/>
      <c r="Y173" s="267"/>
      <c r="Z173" s="267"/>
      <c r="AA173" s="266"/>
      <c r="AB173" s="266"/>
      <c r="AC173" s="266"/>
    </row>
    <row r="174" spans="2:29" s="268" customFormat="1" ht="12.75" x14ac:dyDescent="0.2">
      <c r="B174" s="278" t="s">
        <v>472</v>
      </c>
      <c r="C174" s="279"/>
      <c r="D174" s="2888"/>
      <c r="E174" s="2893"/>
      <c r="F174" s="2889"/>
      <c r="G174" s="270"/>
      <c r="H174" s="311" t="str">
        <f>IF(G174&lt;&gt;"",1,"")</f>
        <v/>
      </c>
      <c r="I174" s="328">
        <f t="shared" si="21"/>
        <v>1.7</v>
      </c>
      <c r="J174" s="272">
        <f t="shared" si="22"/>
        <v>0</v>
      </c>
      <c r="K174" s="312">
        <f t="shared" si="23"/>
        <v>0</v>
      </c>
      <c r="L174" s="275"/>
      <c r="X174" s="277"/>
      <c r="Y174" s="267"/>
      <c r="Z174" s="267"/>
      <c r="AA174" s="266"/>
      <c r="AB174" s="266"/>
      <c r="AC174" s="266"/>
    </row>
    <row r="175" spans="2:29" s="268" customFormat="1" ht="12.75" x14ac:dyDescent="0.2">
      <c r="B175" s="278" t="s">
        <v>473</v>
      </c>
      <c r="C175" s="279"/>
      <c r="D175" s="2888"/>
      <c r="E175" s="2893"/>
      <c r="F175" s="2889"/>
      <c r="G175" s="270"/>
      <c r="H175" s="311" t="str">
        <f t="shared" ref="H175:H183" si="25">IF(G175&lt;&gt;"",1,"")</f>
        <v/>
      </c>
      <c r="I175" s="328">
        <f t="shared" si="21"/>
        <v>1.7</v>
      </c>
      <c r="J175" s="272">
        <f t="shared" si="22"/>
        <v>0</v>
      </c>
      <c r="K175" s="312">
        <f t="shared" si="23"/>
        <v>0</v>
      </c>
      <c r="L175" s="275"/>
      <c r="X175" s="277"/>
      <c r="Y175" s="267"/>
      <c r="Z175" s="267"/>
      <c r="AA175" s="266"/>
      <c r="AB175" s="266"/>
      <c r="AC175" s="266"/>
    </row>
    <row r="176" spans="2:29" s="268" customFormat="1" ht="12.75" x14ac:dyDescent="0.2">
      <c r="B176" s="278" t="s">
        <v>474</v>
      </c>
      <c r="C176" s="279"/>
      <c r="D176" s="2888"/>
      <c r="E176" s="2893"/>
      <c r="F176" s="2889"/>
      <c r="G176" s="270"/>
      <c r="H176" s="311" t="str">
        <f t="shared" si="25"/>
        <v/>
      </c>
      <c r="I176" s="328">
        <f t="shared" si="21"/>
        <v>1.7</v>
      </c>
      <c r="J176" s="272">
        <f t="shared" si="22"/>
        <v>0</v>
      </c>
      <c r="K176" s="312">
        <f t="shared" si="23"/>
        <v>0</v>
      </c>
      <c r="L176" s="275"/>
      <c r="X176" s="277"/>
      <c r="Y176" s="267"/>
      <c r="Z176" s="267"/>
      <c r="AA176" s="266"/>
      <c r="AB176" s="266"/>
      <c r="AC176" s="266"/>
    </row>
    <row r="177" spans="2:29" s="268" customFormat="1" ht="12.75" x14ac:dyDescent="0.2">
      <c r="B177" s="278" t="s">
        <v>475</v>
      </c>
      <c r="C177" s="279"/>
      <c r="D177" s="2888"/>
      <c r="E177" s="2893"/>
      <c r="F177" s="2889"/>
      <c r="G177" s="270"/>
      <c r="H177" s="311" t="str">
        <f t="shared" si="25"/>
        <v/>
      </c>
      <c r="I177" s="328">
        <f t="shared" si="21"/>
        <v>1.7</v>
      </c>
      <c r="J177" s="272">
        <f t="shared" si="22"/>
        <v>0</v>
      </c>
      <c r="K177" s="312">
        <f t="shared" si="23"/>
        <v>0</v>
      </c>
      <c r="L177" s="281"/>
      <c r="X177" s="277"/>
      <c r="Y177" s="267"/>
      <c r="Z177" s="267"/>
      <c r="AA177" s="266"/>
      <c r="AB177" s="266"/>
      <c r="AC177" s="266"/>
    </row>
    <row r="178" spans="2:29" s="268" customFormat="1" ht="12.75" x14ac:dyDescent="0.2">
      <c r="B178" s="278" t="s">
        <v>476</v>
      </c>
      <c r="C178" s="279"/>
      <c r="D178" s="2888"/>
      <c r="E178" s="2893"/>
      <c r="F178" s="2889"/>
      <c r="G178" s="270"/>
      <c r="H178" s="311" t="str">
        <f t="shared" si="25"/>
        <v/>
      </c>
      <c r="I178" s="328">
        <f t="shared" si="21"/>
        <v>1.7</v>
      </c>
      <c r="J178" s="272">
        <f t="shared" si="22"/>
        <v>0</v>
      </c>
      <c r="K178" s="312">
        <f t="shared" si="23"/>
        <v>0</v>
      </c>
      <c r="L178" s="275"/>
      <c r="X178" s="277"/>
      <c r="Y178" s="267"/>
      <c r="Z178" s="267"/>
      <c r="AA178" s="266"/>
      <c r="AB178" s="266"/>
      <c r="AC178" s="266"/>
    </row>
    <row r="179" spans="2:29" s="268" customFormat="1" ht="12.75" x14ac:dyDescent="0.2">
      <c r="B179" s="278" t="s">
        <v>477</v>
      </c>
      <c r="C179" s="279"/>
      <c r="D179" s="2888"/>
      <c r="E179" s="2893"/>
      <c r="F179" s="2889"/>
      <c r="G179" s="270"/>
      <c r="H179" s="311" t="str">
        <f t="shared" si="25"/>
        <v/>
      </c>
      <c r="I179" s="328">
        <f t="shared" si="21"/>
        <v>1.7</v>
      </c>
      <c r="J179" s="272">
        <f t="shared" si="22"/>
        <v>0</v>
      </c>
      <c r="K179" s="312">
        <f t="shared" si="23"/>
        <v>0</v>
      </c>
      <c r="L179" s="275"/>
      <c r="X179" s="277"/>
      <c r="Y179" s="267"/>
      <c r="Z179" s="267"/>
      <c r="AA179" s="266"/>
      <c r="AB179" s="266"/>
      <c r="AC179" s="266"/>
    </row>
    <row r="180" spans="2:29" s="268" customFormat="1" ht="12.75" x14ac:dyDescent="0.2">
      <c r="B180" s="278" t="s">
        <v>478</v>
      </c>
      <c r="C180" s="279"/>
      <c r="D180" s="2888"/>
      <c r="E180" s="2893"/>
      <c r="F180" s="2889"/>
      <c r="G180" s="270"/>
      <c r="H180" s="311" t="str">
        <f t="shared" si="25"/>
        <v/>
      </c>
      <c r="I180" s="328">
        <f t="shared" si="21"/>
        <v>1.7</v>
      </c>
      <c r="J180" s="272">
        <f t="shared" si="22"/>
        <v>0</v>
      </c>
      <c r="K180" s="312">
        <f t="shared" si="23"/>
        <v>0</v>
      </c>
      <c r="L180" s="275"/>
      <c r="X180" s="277"/>
      <c r="Y180" s="267"/>
      <c r="Z180" s="267"/>
      <c r="AA180" s="266"/>
      <c r="AB180" s="266"/>
      <c r="AC180" s="266"/>
    </row>
    <row r="181" spans="2:29" s="268" customFormat="1" ht="12.75" x14ac:dyDescent="0.2">
      <c r="B181" s="278" t="s">
        <v>479</v>
      </c>
      <c r="C181" s="279"/>
      <c r="D181" s="2888"/>
      <c r="E181" s="2893"/>
      <c r="F181" s="2889"/>
      <c r="G181" s="270"/>
      <c r="H181" s="311" t="str">
        <f t="shared" si="25"/>
        <v/>
      </c>
      <c r="I181" s="328">
        <f t="shared" si="21"/>
        <v>1.7</v>
      </c>
      <c r="J181" s="272">
        <f t="shared" si="22"/>
        <v>0</v>
      </c>
      <c r="K181" s="312">
        <f t="shared" si="23"/>
        <v>0</v>
      </c>
      <c r="L181" s="275"/>
      <c r="X181" s="277"/>
      <c r="Y181" s="267"/>
      <c r="Z181" s="267"/>
      <c r="AA181" s="266"/>
      <c r="AB181" s="266"/>
      <c r="AC181" s="266"/>
    </row>
    <row r="182" spans="2:29" s="268" customFormat="1" ht="12.75" x14ac:dyDescent="0.2">
      <c r="B182" s="278" t="s">
        <v>480</v>
      </c>
      <c r="C182" s="279"/>
      <c r="D182" s="2888"/>
      <c r="E182" s="2893"/>
      <c r="F182" s="2889"/>
      <c r="G182" s="270"/>
      <c r="H182" s="311" t="str">
        <f t="shared" si="25"/>
        <v/>
      </c>
      <c r="I182" s="328">
        <f t="shared" si="21"/>
        <v>1.7</v>
      </c>
      <c r="J182" s="272">
        <f t="shared" si="22"/>
        <v>0</v>
      </c>
      <c r="K182" s="312">
        <f t="shared" si="23"/>
        <v>0</v>
      </c>
      <c r="L182" s="275"/>
      <c r="X182" s="277"/>
      <c r="Y182" s="267"/>
      <c r="Z182" s="267"/>
      <c r="AA182" s="266"/>
      <c r="AB182" s="266"/>
      <c r="AC182" s="266"/>
    </row>
    <row r="183" spans="2:29" s="268" customFormat="1" ht="12.75" x14ac:dyDescent="0.2">
      <c r="B183" s="278" t="s">
        <v>481</v>
      </c>
      <c r="C183" s="1477"/>
      <c r="D183" s="2904"/>
      <c r="E183" s="2893"/>
      <c r="F183" s="2889"/>
      <c r="G183" s="270"/>
      <c r="H183" s="311" t="str">
        <f t="shared" si="25"/>
        <v/>
      </c>
      <c r="I183" s="328">
        <f t="shared" si="21"/>
        <v>1.7</v>
      </c>
      <c r="J183" s="272">
        <f t="shared" si="22"/>
        <v>0</v>
      </c>
      <c r="K183" s="312">
        <f t="shared" si="23"/>
        <v>0</v>
      </c>
      <c r="L183" s="275"/>
      <c r="X183" s="277"/>
      <c r="Y183" s="267"/>
      <c r="Z183" s="267"/>
      <c r="AA183" s="266"/>
      <c r="AB183" s="266"/>
      <c r="AC183" s="266"/>
    </row>
    <row r="184" spans="2:29" ht="21" customHeight="1" x14ac:dyDescent="0.2">
      <c r="B184" s="340"/>
      <c r="C184" s="341"/>
      <c r="D184" s="342"/>
      <c r="E184" s="343"/>
      <c r="F184" s="344"/>
      <c r="G184" s="344"/>
      <c r="H184" s="345"/>
      <c r="I184" s="319" t="s">
        <v>283</v>
      </c>
      <c r="J184" s="320">
        <f>SUM(J154:J183)</f>
        <v>0</v>
      </c>
      <c r="K184" s="321">
        <f>SUM(K154:K183)</f>
        <v>0</v>
      </c>
      <c r="L184" s="346"/>
    </row>
    <row r="185" spans="2:29" s="356" customFormat="1" ht="12.75" customHeight="1" x14ac:dyDescent="0.2">
      <c r="B185" s="347"/>
      <c r="C185" s="348"/>
      <c r="D185" s="349"/>
      <c r="E185" s="350"/>
      <c r="F185" s="351"/>
      <c r="G185" s="351"/>
      <c r="H185" s="351"/>
      <c r="I185" s="352"/>
      <c r="J185" s="353"/>
      <c r="K185" s="354"/>
      <c r="L185" s="355"/>
      <c r="X185" s="357"/>
      <c r="Y185" s="357"/>
      <c r="Z185" s="357"/>
    </row>
    <row r="186" spans="2:29" s="214" customFormat="1" ht="21" customHeight="1" x14ac:dyDescent="0.2">
      <c r="B186" s="223">
        <v>1.2</v>
      </c>
      <c r="C186" s="224" t="s">
        <v>486</v>
      </c>
      <c r="D186" s="225"/>
      <c r="E186" s="226"/>
      <c r="F186" s="226"/>
      <c r="G186" s="227"/>
      <c r="H186" s="227"/>
      <c r="I186" s="227"/>
      <c r="J186" s="227"/>
      <c r="K186" s="228"/>
      <c r="L186" s="229"/>
      <c r="X186" s="222"/>
      <c r="Y186" s="222"/>
      <c r="Z186" s="222"/>
    </row>
    <row r="187" spans="2:29" s="214" customFormat="1" ht="19.5" customHeight="1" x14ac:dyDescent="0.2">
      <c r="B187" s="358"/>
      <c r="C187" s="359" t="s">
        <v>487</v>
      </c>
      <c r="D187" s="232"/>
      <c r="E187" s="233"/>
      <c r="F187" s="233"/>
      <c r="G187" s="234" t="s">
        <v>437</v>
      </c>
      <c r="H187" s="360"/>
      <c r="I187" s="325"/>
      <c r="J187" s="235"/>
      <c r="K187" s="361"/>
      <c r="L187" s="362"/>
      <c r="X187" s="222"/>
      <c r="Y187" s="222"/>
      <c r="Z187" s="222"/>
    </row>
    <row r="188" spans="2:29" x14ac:dyDescent="0.2">
      <c r="B188" s="238"/>
      <c r="C188" s="239" t="s">
        <v>438</v>
      </c>
      <c r="D188" s="2937" t="s">
        <v>439</v>
      </c>
      <c r="E188" s="2939"/>
      <c r="F188" s="727" t="s">
        <v>280</v>
      </c>
      <c r="G188" s="363" t="s">
        <v>440</v>
      </c>
      <c r="H188" s="242" t="s">
        <v>280</v>
      </c>
      <c r="I188" s="243" t="s">
        <v>442</v>
      </c>
      <c r="J188" s="243" t="s">
        <v>443</v>
      </c>
      <c r="K188" s="364" t="s">
        <v>443</v>
      </c>
      <c r="L188" s="195"/>
    </row>
    <row r="189" spans="2:29" x14ac:dyDescent="0.2">
      <c r="B189" s="302"/>
      <c r="C189" s="303"/>
      <c r="D189" s="2901" t="s">
        <v>986</v>
      </c>
      <c r="E189" s="2903"/>
      <c r="F189" s="950" t="s">
        <v>444</v>
      </c>
      <c r="G189" s="365" t="s">
        <v>445</v>
      </c>
      <c r="H189" s="305" t="s">
        <v>447</v>
      </c>
      <c r="I189" s="251" t="s">
        <v>448</v>
      </c>
      <c r="J189" s="251" t="s">
        <v>445</v>
      </c>
      <c r="K189" s="244" t="s">
        <v>315</v>
      </c>
      <c r="L189" s="275"/>
    </row>
    <row r="190" spans="2:29" x14ac:dyDescent="0.2">
      <c r="B190" s="253"/>
      <c r="C190" s="306"/>
      <c r="D190" s="2946" t="s">
        <v>1017</v>
      </c>
      <c r="E190" s="2947"/>
      <c r="F190" s="1291"/>
      <c r="G190" s="367"/>
      <c r="H190" s="368"/>
      <c r="I190" s="258"/>
      <c r="J190" s="258"/>
      <c r="K190" s="259"/>
      <c r="L190" s="369"/>
    </row>
    <row r="191" spans="2:29" s="356" customFormat="1" x14ac:dyDescent="0.2">
      <c r="B191" s="370" t="s">
        <v>450</v>
      </c>
      <c r="C191" s="371" t="s">
        <v>488</v>
      </c>
      <c r="D191" s="372" t="s">
        <v>987</v>
      </c>
      <c r="E191" s="373"/>
      <c r="F191" s="1292">
        <v>5</v>
      </c>
      <c r="G191" s="375">
        <v>30</v>
      </c>
      <c r="H191" s="371">
        <v>1</v>
      </c>
      <c r="I191" s="371">
        <f>IF(AND(F191&lt;&gt;"",F191&lt;&gt;0),IF(F191&gt;=10,4.5,3),3)</f>
        <v>3</v>
      </c>
      <c r="J191" s="376">
        <f>IF(AND(F191&lt;&gt;"",F191&lt;&gt;0),H191*G191*I191,0)</f>
        <v>90</v>
      </c>
      <c r="K191" s="377">
        <f t="shared" ref="K191:K201" si="26">J191/15</f>
        <v>6</v>
      </c>
      <c r="L191" s="378"/>
      <c r="X191" s="357"/>
      <c r="Y191" s="357"/>
      <c r="Z191" s="357"/>
    </row>
    <row r="192" spans="2:29" s="356" customFormat="1" ht="12.75" x14ac:dyDescent="0.2">
      <c r="B192" s="278" t="s">
        <v>452</v>
      </c>
      <c r="C192" s="1477"/>
      <c r="D192" s="2933"/>
      <c r="E192" s="2935"/>
      <c r="F192" s="1293"/>
      <c r="G192" s="270"/>
      <c r="H192" s="311" t="str">
        <f>IF(G192&lt;&gt;"",1,"")</f>
        <v/>
      </c>
      <c r="I192" s="379">
        <f>IF(AND(F192&lt;&gt;"",F192&lt;&gt;0),IF(F192&gt;=10,4.5,3),3)</f>
        <v>3</v>
      </c>
      <c r="J192" s="380">
        <f>IF(AND(F192&lt;&gt;"",F192&lt;&gt;0,G192&lt;&gt;"",G192&lt;&gt;0),H192*G192*I192,0)</f>
        <v>0</v>
      </c>
      <c r="K192" s="312">
        <f t="shared" si="26"/>
        <v>0</v>
      </c>
      <c r="L192" s="275"/>
      <c r="X192" s="357"/>
      <c r="Y192" s="357"/>
      <c r="Z192" s="357"/>
    </row>
    <row r="193" spans="2:26" s="356" customFormat="1" ht="12.75" x14ac:dyDescent="0.2">
      <c r="B193" s="278" t="s">
        <v>453</v>
      </c>
      <c r="C193" s="279"/>
      <c r="D193" s="2933"/>
      <c r="E193" s="2935"/>
      <c r="F193" s="1293"/>
      <c r="G193" s="270"/>
      <c r="H193" s="311" t="str">
        <f t="shared" ref="H193:H201" si="27">IF(G193&lt;&gt;"",1,"")</f>
        <v/>
      </c>
      <c r="I193" s="379">
        <f t="shared" ref="I193:I201" si="28">IF(AND(F193&lt;&gt;"",F193&lt;&gt;0),IF(F193&gt;=10,4.5,3),3)</f>
        <v>3</v>
      </c>
      <c r="J193" s="380">
        <f t="shared" ref="J193:J201" si="29">IF(AND(F193&lt;&gt;"",F193&lt;&gt;0,G193&lt;&gt;"",G193&lt;&gt;0),H193*G193*I193,0)</f>
        <v>0</v>
      </c>
      <c r="K193" s="312">
        <f t="shared" si="26"/>
        <v>0</v>
      </c>
      <c r="L193" s="275"/>
      <c r="X193" s="357"/>
      <c r="Y193" s="357"/>
      <c r="Z193" s="357"/>
    </row>
    <row r="194" spans="2:26" s="356" customFormat="1" ht="12.75" x14ac:dyDescent="0.2">
      <c r="B194" s="278" t="s">
        <v>454</v>
      </c>
      <c r="C194" s="279"/>
      <c r="D194" s="2936"/>
      <c r="E194" s="2935"/>
      <c r="F194" s="1293"/>
      <c r="G194" s="270"/>
      <c r="H194" s="311" t="str">
        <f t="shared" si="27"/>
        <v/>
      </c>
      <c r="I194" s="379">
        <f t="shared" si="28"/>
        <v>3</v>
      </c>
      <c r="J194" s="380">
        <f t="shared" si="29"/>
        <v>0</v>
      </c>
      <c r="K194" s="312">
        <f t="shared" si="26"/>
        <v>0</v>
      </c>
      <c r="L194" s="275"/>
      <c r="X194" s="357"/>
      <c r="Y194" s="357"/>
      <c r="Z194" s="357"/>
    </row>
    <row r="195" spans="2:26" s="356" customFormat="1" ht="12.75" x14ac:dyDescent="0.2">
      <c r="B195" s="278" t="s">
        <v>455</v>
      </c>
      <c r="C195" s="279"/>
      <c r="D195" s="2936"/>
      <c r="E195" s="2935"/>
      <c r="F195" s="1293"/>
      <c r="G195" s="270"/>
      <c r="H195" s="311" t="str">
        <f t="shared" si="27"/>
        <v/>
      </c>
      <c r="I195" s="379">
        <f t="shared" si="28"/>
        <v>3</v>
      </c>
      <c r="J195" s="380">
        <f t="shared" si="29"/>
        <v>0</v>
      </c>
      <c r="K195" s="312">
        <f t="shared" si="26"/>
        <v>0</v>
      </c>
      <c r="L195" s="275"/>
      <c r="X195" s="357"/>
      <c r="Y195" s="357"/>
      <c r="Z195" s="357"/>
    </row>
    <row r="196" spans="2:26" s="356" customFormat="1" ht="12.75" x14ac:dyDescent="0.2">
      <c r="B196" s="278" t="s">
        <v>456</v>
      </c>
      <c r="C196" s="279"/>
      <c r="D196" s="2936"/>
      <c r="E196" s="2935"/>
      <c r="F196" s="1293"/>
      <c r="G196" s="270"/>
      <c r="H196" s="311" t="str">
        <f t="shared" si="27"/>
        <v/>
      </c>
      <c r="I196" s="379">
        <f t="shared" si="28"/>
        <v>3</v>
      </c>
      <c r="J196" s="380">
        <f t="shared" si="29"/>
        <v>0</v>
      </c>
      <c r="K196" s="312">
        <f t="shared" si="26"/>
        <v>0</v>
      </c>
      <c r="L196" s="275"/>
      <c r="X196" s="357"/>
      <c r="Y196" s="357"/>
      <c r="Z196" s="357"/>
    </row>
    <row r="197" spans="2:26" s="356" customFormat="1" ht="12.75" x14ac:dyDescent="0.2">
      <c r="B197" s="278" t="s">
        <v>457</v>
      </c>
      <c r="C197" s="279"/>
      <c r="D197" s="2936"/>
      <c r="E197" s="2935"/>
      <c r="F197" s="1293"/>
      <c r="G197" s="270"/>
      <c r="H197" s="311" t="str">
        <f>IF(G197&lt;&gt;"",1,"")</f>
        <v/>
      </c>
      <c r="I197" s="379">
        <f t="shared" si="28"/>
        <v>3</v>
      </c>
      <c r="J197" s="380">
        <f t="shared" si="29"/>
        <v>0</v>
      </c>
      <c r="K197" s="312">
        <f t="shared" si="26"/>
        <v>0</v>
      </c>
      <c r="L197" s="275"/>
      <c r="X197" s="357"/>
      <c r="Y197" s="357"/>
      <c r="Z197" s="357"/>
    </row>
    <row r="198" spans="2:26" s="356" customFormat="1" ht="12.75" x14ac:dyDescent="0.2">
      <c r="B198" s="278" t="s">
        <v>458</v>
      </c>
      <c r="C198" s="279"/>
      <c r="D198" s="2936"/>
      <c r="E198" s="2935"/>
      <c r="F198" s="1293"/>
      <c r="G198" s="270"/>
      <c r="H198" s="311" t="str">
        <f t="shared" si="27"/>
        <v/>
      </c>
      <c r="I198" s="379">
        <f t="shared" si="28"/>
        <v>3</v>
      </c>
      <c r="J198" s="380">
        <f t="shared" si="29"/>
        <v>0</v>
      </c>
      <c r="K198" s="312">
        <f t="shared" si="26"/>
        <v>0</v>
      </c>
      <c r="L198" s="275"/>
      <c r="X198" s="357"/>
      <c r="Y198" s="357"/>
      <c r="Z198" s="357"/>
    </row>
    <row r="199" spans="2:26" s="356" customFormat="1" ht="12.75" x14ac:dyDescent="0.2">
      <c r="B199" s="278" t="s">
        <v>459</v>
      </c>
      <c r="C199" s="279"/>
      <c r="D199" s="2936"/>
      <c r="E199" s="2935"/>
      <c r="F199" s="1293"/>
      <c r="G199" s="270"/>
      <c r="H199" s="311" t="str">
        <f t="shared" si="27"/>
        <v/>
      </c>
      <c r="I199" s="379">
        <f t="shared" si="28"/>
        <v>3</v>
      </c>
      <c r="J199" s="380">
        <f t="shared" si="29"/>
        <v>0</v>
      </c>
      <c r="K199" s="312">
        <f t="shared" si="26"/>
        <v>0</v>
      </c>
      <c r="L199" s="275"/>
      <c r="X199" s="357"/>
      <c r="Y199" s="357"/>
      <c r="Z199" s="357"/>
    </row>
    <row r="200" spans="2:26" s="356" customFormat="1" ht="12.75" x14ac:dyDescent="0.2">
      <c r="B200" s="278" t="s">
        <v>460</v>
      </c>
      <c r="C200" s="279"/>
      <c r="D200" s="2936"/>
      <c r="E200" s="2935"/>
      <c r="F200" s="1293"/>
      <c r="G200" s="270"/>
      <c r="H200" s="311" t="str">
        <f t="shared" si="27"/>
        <v/>
      </c>
      <c r="I200" s="379">
        <f t="shared" si="28"/>
        <v>3</v>
      </c>
      <c r="J200" s="380">
        <f t="shared" si="29"/>
        <v>0</v>
      </c>
      <c r="K200" s="312">
        <f t="shared" si="26"/>
        <v>0</v>
      </c>
      <c r="L200" s="275"/>
      <c r="X200" s="357"/>
      <c r="Y200" s="357"/>
      <c r="Z200" s="357"/>
    </row>
    <row r="201" spans="2:26" s="356" customFormat="1" ht="12.75" x14ac:dyDescent="0.2">
      <c r="B201" s="278" t="s">
        <v>461</v>
      </c>
      <c r="C201" s="279"/>
      <c r="D201" s="2936"/>
      <c r="E201" s="2935"/>
      <c r="F201" s="1293"/>
      <c r="G201" s="270"/>
      <c r="H201" s="311" t="str">
        <f t="shared" si="27"/>
        <v/>
      </c>
      <c r="I201" s="379">
        <f t="shared" si="28"/>
        <v>3</v>
      </c>
      <c r="J201" s="380">
        <f t="shared" si="29"/>
        <v>0</v>
      </c>
      <c r="K201" s="312">
        <f t="shared" si="26"/>
        <v>0</v>
      </c>
      <c r="L201" s="275"/>
      <c r="X201" s="357"/>
      <c r="Y201" s="357"/>
      <c r="Z201" s="357"/>
    </row>
    <row r="202" spans="2:26" s="214" customFormat="1" ht="19.5" customHeight="1" x14ac:dyDescent="0.2">
      <c r="B202" s="329"/>
      <c r="C202" s="381"/>
      <c r="D202" s="382"/>
      <c r="E202" s="383"/>
      <c r="F202" s="333"/>
      <c r="G202" s="344"/>
      <c r="H202" s="344"/>
      <c r="I202" s="319" t="s">
        <v>283</v>
      </c>
      <c r="J202" s="335">
        <f>SUM(J192:J201)</f>
        <v>0</v>
      </c>
      <c r="K202" s="336">
        <f>SUM(K192:K201)</f>
        <v>0</v>
      </c>
      <c r="L202" s="346"/>
      <c r="X202" s="222"/>
      <c r="Y202" s="222"/>
      <c r="Z202" s="222"/>
    </row>
    <row r="203" spans="2:26" s="190" customFormat="1" ht="19.5" customHeight="1" x14ac:dyDescent="0.2">
      <c r="B203" s="384"/>
      <c r="C203" s="296" t="s">
        <v>489</v>
      </c>
      <c r="D203" s="297"/>
      <c r="E203" s="298"/>
      <c r="F203" s="298"/>
      <c r="G203" s="234" t="s">
        <v>437</v>
      </c>
      <c r="H203" s="299"/>
      <c r="I203" s="299"/>
      <c r="J203" s="385"/>
      <c r="K203" s="301"/>
      <c r="L203" s="362"/>
      <c r="X203" s="189"/>
      <c r="Y203" s="189"/>
      <c r="Z203" s="189"/>
    </row>
    <row r="204" spans="2:26" s="190" customFormat="1" x14ac:dyDescent="0.2">
      <c r="B204" s="238"/>
      <c r="C204" s="239" t="s">
        <v>438</v>
      </c>
      <c r="D204" s="2937" t="s">
        <v>439</v>
      </c>
      <c r="E204" s="2938"/>
      <c r="F204" s="2939"/>
      <c r="G204" s="363" t="s">
        <v>440</v>
      </c>
      <c r="H204" s="242" t="s">
        <v>280</v>
      </c>
      <c r="I204" s="243" t="s">
        <v>442</v>
      </c>
      <c r="J204" s="243" t="s">
        <v>443</v>
      </c>
      <c r="K204" s="364" t="s">
        <v>443</v>
      </c>
      <c r="L204" s="195"/>
      <c r="X204" s="189"/>
      <c r="Y204" s="189"/>
      <c r="Z204" s="189"/>
    </row>
    <row r="205" spans="2:26" s="387" customFormat="1" x14ac:dyDescent="0.2">
      <c r="B205" s="302"/>
      <c r="C205" s="303"/>
      <c r="D205" s="2901" t="s">
        <v>929</v>
      </c>
      <c r="E205" s="2902"/>
      <c r="F205" s="2903"/>
      <c r="G205" s="365" t="s">
        <v>445</v>
      </c>
      <c r="H205" s="305" t="s">
        <v>447</v>
      </c>
      <c r="I205" s="251" t="s">
        <v>448</v>
      </c>
      <c r="J205" s="251" t="s">
        <v>445</v>
      </c>
      <c r="K205" s="244" t="s">
        <v>315</v>
      </c>
      <c r="L205" s="275"/>
      <c r="X205" s="388"/>
      <c r="Y205" s="388"/>
      <c r="Z205" s="388"/>
    </row>
    <row r="206" spans="2:26" s="387" customFormat="1" x14ac:dyDescent="0.2">
      <c r="B206" s="253"/>
      <c r="C206" s="306"/>
      <c r="D206" s="2898" t="s">
        <v>1017</v>
      </c>
      <c r="E206" s="2899"/>
      <c r="F206" s="2900"/>
      <c r="G206" s="367"/>
      <c r="H206" s="389"/>
      <c r="I206" s="258"/>
      <c r="J206" s="258"/>
      <c r="K206" s="259"/>
      <c r="L206" s="369"/>
      <c r="X206" s="388"/>
      <c r="Y206" s="388"/>
      <c r="Z206" s="388"/>
    </row>
    <row r="207" spans="2:26" s="356" customFormat="1" x14ac:dyDescent="0.2">
      <c r="B207" s="370" t="s">
        <v>450</v>
      </c>
      <c r="C207" s="371" t="s">
        <v>488</v>
      </c>
      <c r="D207" s="372" t="s">
        <v>987</v>
      </c>
      <c r="E207" s="373"/>
      <c r="F207" s="374"/>
      <c r="G207" s="375">
        <v>45</v>
      </c>
      <c r="H207" s="371">
        <v>1</v>
      </c>
      <c r="I207" s="371">
        <v>1.7</v>
      </c>
      <c r="J207" s="376">
        <f>H207*G207*I207</f>
        <v>76.5</v>
      </c>
      <c r="K207" s="377">
        <f t="shared" ref="K207:K217" si="30">J207/15</f>
        <v>5.0999999999999996</v>
      </c>
      <c r="L207" s="378"/>
      <c r="X207" s="357"/>
      <c r="Y207" s="357"/>
      <c r="Z207" s="357"/>
    </row>
    <row r="208" spans="2:26" s="356" customFormat="1" ht="12.75" x14ac:dyDescent="0.2">
      <c r="B208" s="278" t="s">
        <v>452</v>
      </c>
      <c r="C208" s="279"/>
      <c r="D208" s="2936"/>
      <c r="E208" s="2934"/>
      <c r="F208" s="2935"/>
      <c r="G208" s="270"/>
      <c r="H208" s="311" t="str">
        <f>IF(G208&lt;&gt;"",1,"")</f>
        <v/>
      </c>
      <c r="I208" s="379">
        <v>1.7</v>
      </c>
      <c r="J208" s="380">
        <f>IF(H208&lt;&gt;"",H208*G208*I208,0)</f>
        <v>0</v>
      </c>
      <c r="K208" s="312">
        <f t="shared" si="30"/>
        <v>0</v>
      </c>
      <c r="L208" s="275"/>
      <c r="X208" s="357"/>
      <c r="Y208" s="357"/>
      <c r="Z208" s="357"/>
    </row>
    <row r="209" spans="2:26" s="356" customFormat="1" ht="12.75" x14ac:dyDescent="0.2">
      <c r="B209" s="1467" t="s">
        <v>453</v>
      </c>
      <c r="C209" s="1454"/>
      <c r="D209" s="2940"/>
      <c r="E209" s="2941"/>
      <c r="F209" s="2942"/>
      <c r="G209" s="1454"/>
      <c r="H209" s="1455" t="str">
        <f t="shared" ref="H209:H217" si="31">IF(G209&lt;&gt;"",1,"")</f>
        <v/>
      </c>
      <c r="I209" s="1471">
        <v>1.7</v>
      </c>
      <c r="J209" s="1472">
        <f t="shared" ref="J209:J212" si="32">IF(H209&lt;&gt;"",H209*G209*I209,0)</f>
        <v>0</v>
      </c>
      <c r="K209" s="1468">
        <f t="shared" si="30"/>
        <v>0</v>
      </c>
      <c r="L209" s="275"/>
      <c r="X209" s="357"/>
      <c r="Y209" s="357"/>
      <c r="Z209" s="357"/>
    </row>
    <row r="210" spans="2:26" s="268" customFormat="1" ht="12.75" x14ac:dyDescent="0.2">
      <c r="B210" s="1465" t="s">
        <v>454</v>
      </c>
      <c r="C210" s="1460"/>
      <c r="D210" s="2943"/>
      <c r="E210" s="2944"/>
      <c r="F210" s="2945"/>
      <c r="G210" s="1460"/>
      <c r="H210" s="1461" t="str">
        <f t="shared" si="31"/>
        <v/>
      </c>
      <c r="I210" s="1473">
        <v>1.7</v>
      </c>
      <c r="J210" s="1474">
        <f t="shared" si="32"/>
        <v>0</v>
      </c>
      <c r="K210" s="1466">
        <f t="shared" si="30"/>
        <v>0</v>
      </c>
      <c r="L210" s="275"/>
      <c r="X210" s="322"/>
      <c r="Y210" s="322"/>
      <c r="Z210" s="322"/>
    </row>
    <row r="211" spans="2:26" s="356" customFormat="1" ht="12.75" x14ac:dyDescent="0.2">
      <c r="B211" s="278" t="s">
        <v>455</v>
      </c>
      <c r="C211" s="279"/>
      <c r="D211" s="2936"/>
      <c r="E211" s="2934"/>
      <c r="F211" s="2935"/>
      <c r="G211" s="270"/>
      <c r="H211" s="311" t="str">
        <f t="shared" si="31"/>
        <v/>
      </c>
      <c r="I211" s="379">
        <v>1.7</v>
      </c>
      <c r="J211" s="380">
        <f t="shared" si="32"/>
        <v>0</v>
      </c>
      <c r="K211" s="312">
        <f t="shared" si="30"/>
        <v>0</v>
      </c>
      <c r="L211" s="275"/>
      <c r="X211" s="357"/>
      <c r="Y211" s="357"/>
      <c r="Z211" s="357"/>
    </row>
    <row r="212" spans="2:26" s="268" customFormat="1" ht="12.75" x14ac:dyDescent="0.2">
      <c r="B212" s="278" t="s">
        <v>456</v>
      </c>
      <c r="C212" s="279"/>
      <c r="D212" s="2936"/>
      <c r="E212" s="2934"/>
      <c r="F212" s="2935"/>
      <c r="G212" s="270"/>
      <c r="H212" s="311" t="str">
        <f t="shared" si="31"/>
        <v/>
      </c>
      <c r="I212" s="379">
        <v>1.7</v>
      </c>
      <c r="J212" s="380">
        <f t="shared" si="32"/>
        <v>0</v>
      </c>
      <c r="K212" s="312">
        <f t="shared" si="30"/>
        <v>0</v>
      </c>
      <c r="L212" s="275"/>
      <c r="X212" s="322"/>
      <c r="Y212" s="322"/>
      <c r="Z212" s="322"/>
    </row>
    <row r="213" spans="2:26" s="356" customFormat="1" ht="12.75" x14ac:dyDescent="0.2">
      <c r="B213" s="278" t="s">
        <v>457</v>
      </c>
      <c r="C213" s="279"/>
      <c r="D213" s="2936"/>
      <c r="E213" s="2934"/>
      <c r="F213" s="2935"/>
      <c r="G213" s="270"/>
      <c r="H213" s="311" t="str">
        <f>IF(G213&lt;&gt;"",1,"")</f>
        <v/>
      </c>
      <c r="I213" s="379">
        <v>1.7</v>
      </c>
      <c r="J213" s="380">
        <f>IF(H213&lt;&gt;"",H213*G213*I213,0)</f>
        <v>0</v>
      </c>
      <c r="K213" s="312">
        <f t="shared" si="30"/>
        <v>0</v>
      </c>
      <c r="L213" s="275"/>
      <c r="X213" s="357"/>
      <c r="Y213" s="357"/>
      <c r="Z213" s="357"/>
    </row>
    <row r="214" spans="2:26" s="356" customFormat="1" ht="12.75" x14ac:dyDescent="0.2">
      <c r="B214" s="278" t="s">
        <v>458</v>
      </c>
      <c r="C214" s="279"/>
      <c r="D214" s="2936"/>
      <c r="E214" s="2934"/>
      <c r="F214" s="2935"/>
      <c r="G214" s="270"/>
      <c r="H214" s="311" t="str">
        <f t="shared" si="31"/>
        <v/>
      </c>
      <c r="I214" s="379">
        <v>1.7</v>
      </c>
      <c r="J214" s="380">
        <f t="shared" ref="J214:J217" si="33">IF(H214&lt;&gt;"",H214*G214*I214,0)</f>
        <v>0</v>
      </c>
      <c r="K214" s="312">
        <f t="shared" si="30"/>
        <v>0</v>
      </c>
      <c r="L214" s="275"/>
      <c r="X214" s="357"/>
      <c r="Y214" s="357"/>
      <c r="Z214" s="357"/>
    </row>
    <row r="215" spans="2:26" s="268" customFormat="1" ht="12.75" x14ac:dyDescent="0.2">
      <c r="B215" s="278" t="s">
        <v>459</v>
      </c>
      <c r="C215" s="279"/>
      <c r="D215" s="2936"/>
      <c r="E215" s="2934"/>
      <c r="F215" s="2935"/>
      <c r="G215" s="270"/>
      <c r="H215" s="311" t="str">
        <f t="shared" si="31"/>
        <v/>
      </c>
      <c r="I215" s="379">
        <v>1.7</v>
      </c>
      <c r="J215" s="380">
        <f t="shared" si="33"/>
        <v>0</v>
      </c>
      <c r="K215" s="312">
        <f t="shared" si="30"/>
        <v>0</v>
      </c>
      <c r="L215" s="275"/>
      <c r="X215" s="322"/>
      <c r="Y215" s="322"/>
      <c r="Z215" s="322"/>
    </row>
    <row r="216" spans="2:26" s="356" customFormat="1" ht="12.75" x14ac:dyDescent="0.2">
      <c r="B216" s="278" t="s">
        <v>460</v>
      </c>
      <c r="C216" s="279"/>
      <c r="D216" s="2936"/>
      <c r="E216" s="2934"/>
      <c r="F216" s="2935"/>
      <c r="G216" s="270"/>
      <c r="H216" s="311" t="str">
        <f t="shared" si="31"/>
        <v/>
      </c>
      <c r="I216" s="379">
        <v>1.7</v>
      </c>
      <c r="J216" s="380">
        <f t="shared" si="33"/>
        <v>0</v>
      </c>
      <c r="K216" s="312">
        <f t="shared" si="30"/>
        <v>0</v>
      </c>
      <c r="L216" s="275"/>
      <c r="X216" s="357"/>
      <c r="Y216" s="357"/>
      <c r="Z216" s="357"/>
    </row>
    <row r="217" spans="2:26" s="268" customFormat="1" ht="12.75" x14ac:dyDescent="0.2">
      <c r="B217" s="278" t="s">
        <v>461</v>
      </c>
      <c r="C217" s="1477"/>
      <c r="D217" s="2933"/>
      <c r="E217" s="2934"/>
      <c r="F217" s="2935"/>
      <c r="G217" s="270"/>
      <c r="H217" s="311" t="str">
        <f t="shared" si="31"/>
        <v/>
      </c>
      <c r="I217" s="379">
        <v>1.7</v>
      </c>
      <c r="J217" s="380">
        <f t="shared" si="33"/>
        <v>0</v>
      </c>
      <c r="K217" s="312">
        <f t="shared" si="30"/>
        <v>0</v>
      </c>
      <c r="L217" s="275"/>
      <c r="X217" s="322"/>
      <c r="Y217" s="322"/>
      <c r="Z217" s="322"/>
    </row>
    <row r="218" spans="2:26" s="214" customFormat="1" ht="19.5" customHeight="1" x14ac:dyDescent="0.2">
      <c r="B218" s="390"/>
      <c r="C218" s="391"/>
      <c r="D218" s="392"/>
      <c r="E218" s="393"/>
      <c r="F218" s="344"/>
      <c r="G218" s="344"/>
      <c r="H218" s="394"/>
      <c r="I218" s="319" t="s">
        <v>283</v>
      </c>
      <c r="J218" s="320">
        <f>SUM(J208:J217)</f>
        <v>0</v>
      </c>
      <c r="K218" s="321">
        <f>SUM(K208:K217)</f>
        <v>0</v>
      </c>
      <c r="L218" s="395"/>
      <c r="X218" s="222"/>
      <c r="Y218" s="222"/>
      <c r="Z218" s="222"/>
    </row>
    <row r="219" spans="2:26" s="404" customFormat="1" ht="12.75" customHeight="1" x14ac:dyDescent="0.2">
      <c r="B219" s="396"/>
      <c r="C219" s="397"/>
      <c r="D219" s="398"/>
      <c r="E219" s="399"/>
      <c r="F219" s="400"/>
      <c r="G219" s="400"/>
      <c r="H219" s="205"/>
      <c r="I219" s="401"/>
      <c r="J219" s="402"/>
      <c r="K219" s="403"/>
      <c r="L219" s="355"/>
      <c r="X219" s="405"/>
      <c r="Y219" s="405"/>
      <c r="Z219" s="405"/>
    </row>
    <row r="220" spans="2:26" ht="21" customHeight="1" x14ac:dyDescent="0.2">
      <c r="B220" s="223">
        <v>1.3</v>
      </c>
      <c r="C220" s="406" t="s">
        <v>490</v>
      </c>
      <c r="D220" s="407"/>
      <c r="E220" s="226"/>
      <c r="F220" s="226"/>
      <c r="G220" s="226"/>
      <c r="H220" s="226"/>
      <c r="I220" s="226"/>
      <c r="J220" s="226"/>
      <c r="K220" s="408"/>
      <c r="L220" s="237"/>
    </row>
    <row r="221" spans="2:26" ht="14.25" customHeight="1" x14ac:dyDescent="0.2">
      <c r="B221" s="409"/>
      <c r="C221" s="2930" t="s">
        <v>491</v>
      </c>
      <c r="D221" s="2931"/>
      <c r="E221" s="2931"/>
      <c r="F221" s="2932"/>
      <c r="G221" s="410" t="s">
        <v>440</v>
      </c>
      <c r="H221" s="411" t="s">
        <v>280</v>
      </c>
      <c r="I221" s="412" t="s">
        <v>442</v>
      </c>
      <c r="J221" s="412" t="s">
        <v>443</v>
      </c>
      <c r="K221" s="413" t="s">
        <v>443</v>
      </c>
      <c r="L221" s="245"/>
    </row>
    <row r="222" spans="2:26" s="268" customFormat="1" ht="12.75" x14ac:dyDescent="0.2">
      <c r="B222" s="302"/>
      <c r="C222" s="414"/>
      <c r="D222" s="415"/>
      <c r="E222" s="415"/>
      <c r="F222" s="415"/>
      <c r="G222" s="304" t="s">
        <v>445</v>
      </c>
      <c r="H222" s="305" t="s">
        <v>447</v>
      </c>
      <c r="I222" s="251" t="s">
        <v>448</v>
      </c>
      <c r="J222" s="251" t="s">
        <v>445</v>
      </c>
      <c r="K222" s="244" t="s">
        <v>315</v>
      </c>
      <c r="L222" s="252"/>
      <c r="X222" s="322"/>
      <c r="Y222" s="322"/>
      <c r="Z222" s="322"/>
    </row>
    <row r="223" spans="2:26" s="268" customFormat="1" ht="12.75" x14ac:dyDescent="0.2">
      <c r="B223" s="302"/>
      <c r="C223" s="416"/>
      <c r="D223" s="417"/>
      <c r="E223" s="417"/>
      <c r="F223" s="417"/>
      <c r="G223" s="304"/>
      <c r="H223" s="418"/>
      <c r="I223" s="251"/>
      <c r="J223" s="251"/>
      <c r="K223" s="244"/>
      <c r="L223" s="260"/>
      <c r="X223" s="322"/>
      <c r="Y223" s="322"/>
      <c r="Z223" s="322"/>
    </row>
    <row r="224" spans="2:26" s="268" customFormat="1" ht="12.75" x14ac:dyDescent="0.2">
      <c r="B224" s="278" t="s">
        <v>452</v>
      </c>
      <c r="C224" s="2904"/>
      <c r="D224" s="2893"/>
      <c r="E224" s="2893"/>
      <c r="F224" s="2889"/>
      <c r="G224" s="279"/>
      <c r="H224" s="311" t="str">
        <f>IF(G224&lt;&gt;"",1,"")</f>
        <v/>
      </c>
      <c r="I224" s="379">
        <v>0.3</v>
      </c>
      <c r="J224" s="380">
        <f>IF(H224&lt;&gt;"",H224*G224*I224,0)</f>
        <v>0</v>
      </c>
      <c r="K224" s="312">
        <f>J224/15</f>
        <v>0</v>
      </c>
      <c r="L224" s="281"/>
      <c r="X224" s="322"/>
      <c r="Y224" s="322"/>
      <c r="Z224" s="322"/>
    </row>
    <row r="225" spans="2:26" s="268" customFormat="1" ht="12.75" x14ac:dyDescent="0.2">
      <c r="B225" s="278" t="s">
        <v>453</v>
      </c>
      <c r="C225" s="2904"/>
      <c r="D225" s="2893"/>
      <c r="E225" s="2893"/>
      <c r="F225" s="2889"/>
      <c r="G225" s="279"/>
      <c r="H225" s="311" t="str">
        <f t="shared" ref="H225:H226" si="34">IF(G225&lt;&gt;"",1,"")</f>
        <v/>
      </c>
      <c r="I225" s="379">
        <v>0.3</v>
      </c>
      <c r="J225" s="380">
        <f t="shared" ref="J225:J226" si="35">IF(H225&lt;&gt;"",H225*G225*I225,0)</f>
        <v>0</v>
      </c>
      <c r="K225" s="312">
        <f>J225/15</f>
        <v>0</v>
      </c>
      <c r="L225" s="275"/>
      <c r="X225" s="322"/>
      <c r="Y225" s="322"/>
      <c r="Z225" s="322"/>
    </row>
    <row r="226" spans="2:26" s="268" customFormat="1" ht="12.75" x14ac:dyDescent="0.2">
      <c r="B226" s="278" t="s">
        <v>454</v>
      </c>
      <c r="C226" s="2888"/>
      <c r="D226" s="2893"/>
      <c r="E226" s="2893"/>
      <c r="F226" s="2889"/>
      <c r="G226" s="279"/>
      <c r="H226" s="311" t="str">
        <f t="shared" si="34"/>
        <v/>
      </c>
      <c r="I226" s="379">
        <v>0.3</v>
      </c>
      <c r="J226" s="380">
        <f t="shared" si="35"/>
        <v>0</v>
      </c>
      <c r="K226" s="312">
        <f>J226/15</f>
        <v>0</v>
      </c>
      <c r="L226" s="275"/>
      <c r="X226" s="322"/>
      <c r="Y226" s="322"/>
      <c r="Z226" s="322"/>
    </row>
    <row r="227" spans="2:26" s="214" customFormat="1" ht="21" customHeight="1" x14ac:dyDescent="0.2">
      <c r="B227" s="419"/>
      <c r="C227" s="420"/>
      <c r="D227" s="421"/>
      <c r="E227" s="421"/>
      <c r="F227" s="422"/>
      <c r="G227" s="342"/>
      <c r="H227" s="345"/>
      <c r="I227" s="423" t="s">
        <v>283</v>
      </c>
      <c r="J227" s="424">
        <f>SUM(J224:J226)</f>
        <v>0</v>
      </c>
      <c r="K227" s="425">
        <f>SUM(K224:K226)</f>
        <v>0</v>
      </c>
      <c r="L227" s="395"/>
      <c r="X227" s="222"/>
      <c r="Y227" s="222"/>
      <c r="Z227" s="222"/>
    </row>
    <row r="228" spans="2:26" s="404" customFormat="1" ht="12.75" customHeight="1" x14ac:dyDescent="0.2">
      <c r="B228" s="396"/>
      <c r="C228" s="397"/>
      <c r="D228" s="398"/>
      <c r="E228" s="399"/>
      <c r="F228" s="400"/>
      <c r="G228" s="400"/>
      <c r="H228" s="205"/>
      <c r="I228" s="401"/>
      <c r="J228" s="402"/>
      <c r="K228" s="403"/>
      <c r="L228" s="355"/>
      <c r="X228" s="405"/>
      <c r="Y228" s="405"/>
      <c r="Z228" s="405"/>
    </row>
    <row r="229" spans="2:26" ht="21" customHeight="1" x14ac:dyDescent="0.2">
      <c r="B229" s="223">
        <v>1.4</v>
      </c>
      <c r="C229" s="406" t="s">
        <v>492</v>
      </c>
      <c r="D229" s="407"/>
      <c r="E229" s="226"/>
      <c r="F229" s="226"/>
      <c r="G229" s="226"/>
      <c r="H229" s="226"/>
      <c r="I229" s="226"/>
      <c r="J229" s="226"/>
      <c r="K229" s="408"/>
      <c r="L229" s="237"/>
    </row>
    <row r="230" spans="2:26" ht="14.25" customHeight="1" x14ac:dyDescent="0.2">
      <c r="B230" s="409"/>
      <c r="C230" s="426" t="s">
        <v>438</v>
      </c>
      <c r="D230" s="2930" t="s">
        <v>439</v>
      </c>
      <c r="E230" s="2931"/>
      <c r="F230" s="2932"/>
      <c r="G230" s="410" t="s">
        <v>440</v>
      </c>
      <c r="H230" s="411" t="s">
        <v>280</v>
      </c>
      <c r="I230" s="412" t="s">
        <v>442</v>
      </c>
      <c r="J230" s="412" t="s">
        <v>443</v>
      </c>
      <c r="K230" s="413" t="s">
        <v>443</v>
      </c>
      <c r="L230" s="245"/>
    </row>
    <row r="231" spans="2:26" s="268" customFormat="1" ht="12.75" x14ac:dyDescent="0.2">
      <c r="B231" s="302"/>
      <c r="C231" s="427"/>
      <c r="D231" s="415"/>
      <c r="E231" s="415"/>
      <c r="F231" s="415"/>
      <c r="G231" s="304" t="s">
        <v>445</v>
      </c>
      <c r="H231" s="305" t="s">
        <v>447</v>
      </c>
      <c r="I231" s="251" t="s">
        <v>448</v>
      </c>
      <c r="J231" s="251" t="s">
        <v>445</v>
      </c>
      <c r="K231" s="244" t="s">
        <v>315</v>
      </c>
      <c r="L231" s="252"/>
      <c r="X231" s="322"/>
      <c r="Y231" s="322"/>
      <c r="Z231" s="322"/>
    </row>
    <row r="232" spans="2:26" s="268" customFormat="1" ht="12.75" x14ac:dyDescent="0.2">
      <c r="B232" s="302"/>
      <c r="C232" s="428"/>
      <c r="D232" s="429"/>
      <c r="E232" s="429"/>
      <c r="F232" s="429"/>
      <c r="G232" s="430"/>
      <c r="H232" s="305"/>
      <c r="I232" s="251"/>
      <c r="J232" s="251"/>
      <c r="K232" s="244"/>
      <c r="L232" s="260"/>
      <c r="X232" s="322"/>
      <c r="Y232" s="322"/>
      <c r="Z232" s="322"/>
    </row>
    <row r="233" spans="2:26" s="268" customFormat="1" ht="12.75" x14ac:dyDescent="0.2">
      <c r="B233" s="278" t="s">
        <v>452</v>
      </c>
      <c r="C233" s="1478"/>
      <c r="D233" s="2904"/>
      <c r="E233" s="2893"/>
      <c r="F233" s="2889"/>
      <c r="G233" s="279"/>
      <c r="H233" s="311" t="str">
        <f>IF(G233&lt;&gt;"",1,"")</f>
        <v/>
      </c>
      <c r="I233" s="379">
        <v>4.5</v>
      </c>
      <c r="J233" s="380">
        <f>IF(H233&lt;&gt;"",H233*G233*I233,0)</f>
        <v>0</v>
      </c>
      <c r="K233" s="312">
        <f>J233/15</f>
        <v>0</v>
      </c>
      <c r="L233" s="281"/>
      <c r="X233" s="322"/>
      <c r="Y233" s="322"/>
      <c r="Z233" s="322"/>
    </row>
    <row r="234" spans="2:26" s="268" customFormat="1" ht="12.75" x14ac:dyDescent="0.2">
      <c r="B234" s="278" t="s">
        <v>453</v>
      </c>
      <c r="C234" s="431"/>
      <c r="D234" s="2888"/>
      <c r="E234" s="2893"/>
      <c r="F234" s="2889"/>
      <c r="G234" s="279"/>
      <c r="H234" s="311" t="str">
        <f t="shared" ref="H234:H235" si="36">IF(G234&lt;&gt;"",1,"")</f>
        <v/>
      </c>
      <c r="I234" s="379">
        <v>4.5</v>
      </c>
      <c r="J234" s="380">
        <f t="shared" ref="J234:J235" si="37">IF(H234&lt;&gt;"",H234*G234*I234,0)</f>
        <v>0</v>
      </c>
      <c r="K234" s="312">
        <f>J234/15</f>
        <v>0</v>
      </c>
      <c r="L234" s="275"/>
      <c r="X234" s="322"/>
      <c r="Y234" s="322"/>
      <c r="Z234" s="322"/>
    </row>
    <row r="235" spans="2:26" s="268" customFormat="1" ht="12.75" x14ac:dyDescent="0.2">
      <c r="B235" s="278" t="s">
        <v>454</v>
      </c>
      <c r="C235" s="431"/>
      <c r="D235" s="2888"/>
      <c r="E235" s="2893"/>
      <c r="F235" s="2889"/>
      <c r="G235" s="279"/>
      <c r="H235" s="311" t="str">
        <f t="shared" si="36"/>
        <v/>
      </c>
      <c r="I235" s="379">
        <v>4.5</v>
      </c>
      <c r="J235" s="380">
        <f t="shared" si="37"/>
        <v>0</v>
      </c>
      <c r="K235" s="312">
        <f>J235/15</f>
        <v>0</v>
      </c>
      <c r="L235" s="275"/>
      <c r="X235" s="322"/>
      <c r="Y235" s="322"/>
      <c r="Z235" s="322"/>
    </row>
    <row r="236" spans="2:26" s="214" customFormat="1" ht="21" customHeight="1" x14ac:dyDescent="0.2">
      <c r="B236" s="419"/>
      <c r="C236" s="341"/>
      <c r="D236" s="421"/>
      <c r="E236" s="421"/>
      <c r="F236" s="422"/>
      <c r="G236" s="342"/>
      <c r="H236" s="345"/>
      <c r="I236" s="423" t="s">
        <v>283</v>
      </c>
      <c r="J236" s="424">
        <f>SUM(J233:J235)</f>
        <v>0</v>
      </c>
      <c r="K236" s="425">
        <f>SUM(K233:K235)</f>
        <v>0</v>
      </c>
      <c r="L236" s="395"/>
      <c r="X236" s="222"/>
      <c r="Y236" s="222"/>
      <c r="Z236" s="222"/>
    </row>
    <row r="237" spans="2:26" s="404" customFormat="1" ht="12.75" customHeight="1" x14ac:dyDescent="0.2">
      <c r="B237" s="396"/>
      <c r="C237" s="397"/>
      <c r="D237" s="398"/>
      <c r="E237" s="399"/>
      <c r="F237" s="400"/>
      <c r="G237" s="400"/>
      <c r="H237" s="205"/>
      <c r="I237" s="401"/>
      <c r="J237" s="402"/>
      <c r="K237" s="354"/>
      <c r="L237" s="355"/>
      <c r="X237" s="405"/>
      <c r="Y237" s="405"/>
      <c r="Z237" s="405"/>
    </row>
    <row r="238" spans="2:26" ht="21" customHeight="1" x14ac:dyDescent="0.2">
      <c r="B238" s="223">
        <v>1.5</v>
      </c>
      <c r="C238" s="406" t="s">
        <v>493</v>
      </c>
      <c r="D238" s="407"/>
      <c r="E238" s="226"/>
      <c r="F238" s="226"/>
      <c r="G238" s="226"/>
      <c r="H238" s="226"/>
      <c r="I238" s="226"/>
      <c r="J238" s="226"/>
      <c r="K238" s="408"/>
      <c r="L238" s="237"/>
    </row>
    <row r="239" spans="2:26" ht="14.25" customHeight="1" x14ac:dyDescent="0.2">
      <c r="B239" s="409"/>
      <c r="C239" s="2930" t="s">
        <v>439</v>
      </c>
      <c r="D239" s="2931"/>
      <c r="E239" s="2931"/>
      <c r="F239" s="2932"/>
      <c r="G239" s="410" t="s">
        <v>440</v>
      </c>
      <c r="H239" s="411" t="s">
        <v>280</v>
      </c>
      <c r="I239" s="412" t="s">
        <v>442</v>
      </c>
      <c r="J239" s="412" t="s">
        <v>443</v>
      </c>
      <c r="K239" s="413" t="s">
        <v>443</v>
      </c>
      <c r="L239" s="245"/>
    </row>
    <row r="240" spans="2:26" s="268" customFormat="1" ht="12.75" x14ac:dyDescent="0.2">
      <c r="B240" s="302"/>
      <c r="C240" s="414"/>
      <c r="D240" s="415"/>
      <c r="E240" s="415"/>
      <c r="F240" s="415"/>
      <c r="G240" s="304" t="s">
        <v>445</v>
      </c>
      <c r="H240" s="305" t="s">
        <v>447</v>
      </c>
      <c r="I240" s="251" t="s">
        <v>448</v>
      </c>
      <c r="J240" s="251" t="s">
        <v>445</v>
      </c>
      <c r="K240" s="244" t="s">
        <v>315</v>
      </c>
      <c r="L240" s="252"/>
      <c r="X240" s="322"/>
      <c r="Y240" s="322"/>
      <c r="Z240" s="322"/>
    </row>
    <row r="241" spans="2:26" s="268" customFormat="1" ht="12.75" x14ac:dyDescent="0.2">
      <c r="B241" s="302"/>
      <c r="C241" s="416"/>
      <c r="D241" s="417"/>
      <c r="E241" s="417"/>
      <c r="F241" s="417"/>
      <c r="G241" s="304"/>
      <c r="H241" s="305"/>
      <c r="I241" s="251"/>
      <c r="J241" s="251"/>
      <c r="K241" s="244"/>
      <c r="L241" s="260"/>
      <c r="X241" s="322"/>
      <c r="Y241" s="322"/>
      <c r="Z241" s="322"/>
    </row>
    <row r="242" spans="2:26" s="268" customFormat="1" ht="12.75" x14ac:dyDescent="0.2">
      <c r="B242" s="278" t="s">
        <v>452</v>
      </c>
      <c r="C242" s="2904"/>
      <c r="D242" s="2893"/>
      <c r="E242" s="2893"/>
      <c r="F242" s="2889"/>
      <c r="G242" s="279"/>
      <c r="H242" s="311" t="str">
        <f>IF(G242&lt;&gt;"",1,"")</f>
        <v/>
      </c>
      <c r="I242" s="379">
        <v>4.5</v>
      </c>
      <c r="J242" s="380">
        <f>IF(H242&lt;&gt;"",H242*G242*I242,)</f>
        <v>0</v>
      </c>
      <c r="K242" s="312">
        <f>J242/15</f>
        <v>0</v>
      </c>
      <c r="L242" s="281"/>
      <c r="X242" s="322"/>
      <c r="Y242" s="322"/>
      <c r="Z242" s="322"/>
    </row>
    <row r="243" spans="2:26" s="268" customFormat="1" ht="12.75" x14ac:dyDescent="0.2">
      <c r="B243" s="278" t="s">
        <v>453</v>
      </c>
      <c r="C243" s="2888"/>
      <c r="D243" s="2893"/>
      <c r="E243" s="2893"/>
      <c r="F243" s="2889"/>
      <c r="G243" s="279"/>
      <c r="H243" s="311" t="str">
        <f t="shared" ref="H243:H244" si="38">IF(G243&lt;&gt;"",1,"")</f>
        <v/>
      </c>
      <c r="I243" s="379">
        <v>4.5</v>
      </c>
      <c r="J243" s="380">
        <f t="shared" ref="J243:J244" si="39">IF(H243&lt;&gt;"",H243*G243*I243,)</f>
        <v>0</v>
      </c>
      <c r="K243" s="312">
        <f>J243/15</f>
        <v>0</v>
      </c>
      <c r="L243" s="275"/>
      <c r="X243" s="322"/>
      <c r="Y243" s="322"/>
      <c r="Z243" s="322"/>
    </row>
    <row r="244" spans="2:26" s="268" customFormat="1" ht="12.75" x14ac:dyDescent="0.2">
      <c r="B244" s="278" t="s">
        <v>454</v>
      </c>
      <c r="C244" s="2888"/>
      <c r="D244" s="2893"/>
      <c r="E244" s="2893"/>
      <c r="F244" s="2889"/>
      <c r="G244" s="279"/>
      <c r="H244" s="311" t="str">
        <f t="shared" si="38"/>
        <v/>
      </c>
      <c r="I244" s="379">
        <v>4.5</v>
      </c>
      <c r="J244" s="380">
        <f t="shared" si="39"/>
        <v>0</v>
      </c>
      <c r="K244" s="312">
        <f>J244/15</f>
        <v>0</v>
      </c>
      <c r="L244" s="275"/>
      <c r="X244" s="322"/>
      <c r="Y244" s="322"/>
      <c r="Z244" s="322"/>
    </row>
    <row r="245" spans="2:26" s="214" customFormat="1" ht="21" customHeight="1" x14ac:dyDescent="0.2">
      <c r="B245" s="419"/>
      <c r="C245" s="432"/>
      <c r="D245" s="421"/>
      <c r="E245" s="421"/>
      <c r="F245" s="422"/>
      <c r="G245" s="342"/>
      <c r="H245" s="344"/>
      <c r="I245" s="423" t="s">
        <v>283</v>
      </c>
      <c r="J245" s="320">
        <f>SUM(J242:J244)</f>
        <v>0</v>
      </c>
      <c r="K245" s="321">
        <f>SUM(K242:K244)</f>
        <v>0</v>
      </c>
      <c r="L245" s="395"/>
      <c r="X245" s="222"/>
      <c r="Y245" s="222"/>
      <c r="Z245" s="222"/>
    </row>
    <row r="246" spans="2:26" s="395" customFormat="1" ht="9.75" customHeight="1" x14ac:dyDescent="0.2">
      <c r="B246" s="396"/>
      <c r="C246" s="397"/>
      <c r="D246" s="398"/>
      <c r="E246" s="399"/>
      <c r="F246" s="400"/>
      <c r="G246" s="400"/>
      <c r="H246" s="205"/>
      <c r="I246" s="401"/>
      <c r="J246" s="402"/>
      <c r="K246" s="1475"/>
      <c r="X246" s="205"/>
      <c r="Y246" s="205"/>
      <c r="Z246" s="205"/>
    </row>
    <row r="247" spans="2:26" ht="21" customHeight="1" x14ac:dyDescent="0.2">
      <c r="B247" s="223">
        <v>1.6</v>
      </c>
      <c r="C247" s="406" t="s">
        <v>573</v>
      </c>
      <c r="D247" s="407"/>
      <c r="E247" s="226"/>
      <c r="F247" s="226"/>
      <c r="G247" s="226"/>
      <c r="H247" s="226"/>
      <c r="I247" s="226"/>
      <c r="J247" s="226"/>
      <c r="K247" s="408"/>
      <c r="L247" s="200"/>
    </row>
    <row r="248" spans="2:26" x14ac:dyDescent="0.2">
      <c r="B248" s="409"/>
      <c r="C248" s="426" t="s">
        <v>438</v>
      </c>
      <c r="D248" s="2930" t="s">
        <v>439</v>
      </c>
      <c r="E248" s="2931"/>
      <c r="F248" s="2932"/>
      <c r="G248" s="433" t="s">
        <v>494</v>
      </c>
      <c r="H248" s="241" t="s">
        <v>441</v>
      </c>
      <c r="I248" s="412" t="s">
        <v>442</v>
      </c>
      <c r="J248" s="412" t="s">
        <v>443</v>
      </c>
      <c r="K248" s="413" t="s">
        <v>443</v>
      </c>
      <c r="L248" s="200"/>
    </row>
    <row r="249" spans="2:26" ht="14.25" customHeight="1" x14ac:dyDescent="0.2">
      <c r="B249" s="302"/>
      <c r="C249" s="427"/>
      <c r="D249" s="415"/>
      <c r="E249" s="415"/>
      <c r="F249" s="415"/>
      <c r="G249" s="434" t="s">
        <v>495</v>
      </c>
      <c r="H249" s="249" t="s">
        <v>446</v>
      </c>
      <c r="I249" s="251" t="s">
        <v>448</v>
      </c>
      <c r="J249" s="251" t="s">
        <v>445</v>
      </c>
      <c r="K249" s="244" t="s">
        <v>315</v>
      </c>
      <c r="L249" s="200"/>
    </row>
    <row r="250" spans="2:26" s="436" customFormat="1" ht="12.75" x14ac:dyDescent="0.2">
      <c r="B250" s="302"/>
      <c r="C250" s="428"/>
      <c r="D250" s="429"/>
      <c r="E250" s="429"/>
      <c r="F250" s="429"/>
      <c r="G250" s="249" t="s">
        <v>445</v>
      </c>
      <c r="H250" s="256" t="s">
        <v>449</v>
      </c>
      <c r="I250" s="251"/>
      <c r="J250" s="251"/>
      <c r="K250" s="244"/>
      <c r="L250" s="435"/>
      <c r="X250" s="437"/>
      <c r="Y250" s="437"/>
      <c r="Z250" s="437"/>
    </row>
    <row r="251" spans="2:26" s="436" customFormat="1" ht="12.75" x14ac:dyDescent="0.2">
      <c r="B251" s="278" t="s">
        <v>452</v>
      </c>
      <c r="C251" s="1478"/>
      <c r="D251" s="2904"/>
      <c r="E251" s="2893"/>
      <c r="F251" s="2889"/>
      <c r="G251" s="279"/>
      <c r="H251" s="279"/>
      <c r="I251" s="379">
        <v>0.1</v>
      </c>
      <c r="J251" s="380">
        <f>(I251*G251)*H251/100</f>
        <v>0</v>
      </c>
      <c r="K251" s="312">
        <f t="shared" ref="K251:K260" si="40">J251/15</f>
        <v>0</v>
      </c>
      <c r="L251" s="435"/>
      <c r="U251" s="438"/>
      <c r="X251" s="437"/>
      <c r="Y251" s="437"/>
      <c r="Z251" s="437"/>
    </row>
    <row r="252" spans="2:26" s="438" customFormat="1" ht="12.75" x14ac:dyDescent="0.2">
      <c r="B252" s="278" t="s">
        <v>453</v>
      </c>
      <c r="C252" s="431"/>
      <c r="D252" s="2888"/>
      <c r="E252" s="2893"/>
      <c r="F252" s="2889"/>
      <c r="G252" s="279"/>
      <c r="H252" s="279"/>
      <c r="I252" s="379">
        <v>0.1</v>
      </c>
      <c r="J252" s="380">
        <f t="shared" ref="J252:J253" si="41">(I252*G252)*H252/100</f>
        <v>0</v>
      </c>
      <c r="K252" s="312">
        <f t="shared" si="40"/>
        <v>0</v>
      </c>
      <c r="L252" s="439"/>
      <c r="X252" s="437"/>
      <c r="Y252" s="437"/>
      <c r="Z252" s="437"/>
    </row>
    <row r="253" spans="2:26" s="438" customFormat="1" ht="12.75" x14ac:dyDescent="0.2">
      <c r="B253" s="278" t="s">
        <v>454</v>
      </c>
      <c r="C253" s="431"/>
      <c r="D253" s="2888"/>
      <c r="E253" s="2893"/>
      <c r="F253" s="2889"/>
      <c r="G253" s="279"/>
      <c r="H253" s="279"/>
      <c r="I253" s="379">
        <v>0.1</v>
      </c>
      <c r="J253" s="380">
        <f t="shared" si="41"/>
        <v>0</v>
      </c>
      <c r="K253" s="312">
        <f t="shared" si="40"/>
        <v>0</v>
      </c>
      <c r="L253" s="439"/>
      <c r="X253" s="437"/>
      <c r="Y253" s="437"/>
      <c r="Z253" s="437"/>
    </row>
    <row r="254" spans="2:26" s="436" customFormat="1" ht="12.75" x14ac:dyDescent="0.2">
      <c r="B254" s="278" t="s">
        <v>455</v>
      </c>
      <c r="C254" s="431"/>
      <c r="D254" s="2888"/>
      <c r="E254" s="2893"/>
      <c r="F254" s="2889"/>
      <c r="G254" s="279"/>
      <c r="H254" s="279"/>
      <c r="I254" s="379">
        <v>0.1</v>
      </c>
      <c r="J254" s="380">
        <f>(I254*G254)*H254/100</f>
        <v>0</v>
      </c>
      <c r="K254" s="312">
        <f t="shared" si="40"/>
        <v>0</v>
      </c>
      <c r="L254" s="435"/>
      <c r="U254" s="438"/>
      <c r="X254" s="437"/>
      <c r="Y254" s="437"/>
      <c r="Z254" s="437"/>
    </row>
    <row r="255" spans="2:26" s="438" customFormat="1" ht="12.75" x14ac:dyDescent="0.2">
      <c r="B255" s="278" t="s">
        <v>456</v>
      </c>
      <c r="C255" s="431"/>
      <c r="D255" s="2888"/>
      <c r="E255" s="2893"/>
      <c r="F255" s="2889"/>
      <c r="G255" s="279"/>
      <c r="H255" s="279"/>
      <c r="I255" s="379">
        <v>0.1</v>
      </c>
      <c r="J255" s="380">
        <f t="shared" ref="J255:J256" si="42">(I255*G255)*H255/100</f>
        <v>0</v>
      </c>
      <c r="K255" s="312">
        <f t="shared" si="40"/>
        <v>0</v>
      </c>
      <c r="L255" s="439"/>
      <c r="X255" s="437"/>
      <c r="Y255" s="437"/>
      <c r="Z255" s="437"/>
    </row>
    <row r="256" spans="2:26" s="438" customFormat="1" ht="12.75" x14ac:dyDescent="0.2">
      <c r="B256" s="278" t="s">
        <v>457</v>
      </c>
      <c r="C256" s="431"/>
      <c r="D256" s="2888"/>
      <c r="E256" s="2893"/>
      <c r="F256" s="2889"/>
      <c r="G256" s="279"/>
      <c r="H256" s="279"/>
      <c r="I256" s="379">
        <v>0.1</v>
      </c>
      <c r="J256" s="380">
        <f t="shared" si="42"/>
        <v>0</v>
      </c>
      <c r="K256" s="312">
        <f t="shared" si="40"/>
        <v>0</v>
      </c>
      <c r="L256" s="439"/>
      <c r="X256" s="437"/>
      <c r="Y256" s="437"/>
      <c r="Z256" s="437"/>
    </row>
    <row r="257" spans="2:26" s="436" customFormat="1" ht="12.75" x14ac:dyDescent="0.2">
      <c r="B257" s="278" t="s">
        <v>458</v>
      </c>
      <c r="C257" s="431"/>
      <c r="D257" s="2888"/>
      <c r="E257" s="2893"/>
      <c r="F257" s="2889"/>
      <c r="G257" s="279"/>
      <c r="H257" s="279"/>
      <c r="I257" s="379">
        <v>0.1</v>
      </c>
      <c r="J257" s="380">
        <f>(I257*G257)*H257/100</f>
        <v>0</v>
      </c>
      <c r="K257" s="312">
        <f t="shared" si="40"/>
        <v>0</v>
      </c>
      <c r="L257" s="435"/>
      <c r="U257" s="438"/>
      <c r="X257" s="437"/>
      <c r="Y257" s="437"/>
      <c r="Z257" s="437"/>
    </row>
    <row r="258" spans="2:26" s="438" customFormat="1" ht="12.75" x14ac:dyDescent="0.2">
      <c r="B258" s="278" t="s">
        <v>459</v>
      </c>
      <c r="C258" s="431"/>
      <c r="D258" s="2888"/>
      <c r="E258" s="2893"/>
      <c r="F258" s="2889"/>
      <c r="G258" s="279"/>
      <c r="H258" s="279"/>
      <c r="I258" s="379">
        <v>0.1</v>
      </c>
      <c r="J258" s="380">
        <f t="shared" ref="J258:J260" si="43">(I258*G258)*H258/100</f>
        <v>0</v>
      </c>
      <c r="K258" s="312">
        <f t="shared" si="40"/>
        <v>0</v>
      </c>
      <c r="L258" s="439"/>
      <c r="X258" s="437"/>
      <c r="Y258" s="437"/>
      <c r="Z258" s="437"/>
    </row>
    <row r="259" spans="2:26" s="438" customFormat="1" ht="12.75" x14ac:dyDescent="0.2">
      <c r="B259" s="278" t="s">
        <v>460</v>
      </c>
      <c r="C259" s="431"/>
      <c r="D259" s="2888"/>
      <c r="E259" s="2893"/>
      <c r="F259" s="2889"/>
      <c r="G259" s="279"/>
      <c r="H259" s="279"/>
      <c r="I259" s="379">
        <v>0.1</v>
      </c>
      <c r="J259" s="380">
        <f t="shared" si="43"/>
        <v>0</v>
      </c>
      <c r="K259" s="312">
        <f t="shared" si="40"/>
        <v>0</v>
      </c>
      <c r="L259" s="439"/>
      <c r="X259" s="437"/>
      <c r="Y259" s="437"/>
      <c r="Z259" s="437"/>
    </row>
    <row r="260" spans="2:26" s="438" customFormat="1" ht="12.75" x14ac:dyDescent="0.2">
      <c r="B260" s="278" t="s">
        <v>461</v>
      </c>
      <c r="C260" s="431"/>
      <c r="D260" s="2888"/>
      <c r="E260" s="2893"/>
      <c r="F260" s="2889"/>
      <c r="G260" s="279"/>
      <c r="H260" s="279"/>
      <c r="I260" s="379">
        <v>0.1</v>
      </c>
      <c r="J260" s="380">
        <f t="shared" si="43"/>
        <v>0</v>
      </c>
      <c r="K260" s="312">
        <f t="shared" si="40"/>
        <v>0</v>
      </c>
      <c r="L260" s="439"/>
      <c r="X260" s="437"/>
      <c r="Y260" s="437"/>
      <c r="Z260" s="437"/>
    </row>
    <row r="261" spans="2:26" s="436" customFormat="1" ht="15" x14ac:dyDescent="0.2">
      <c r="B261" s="419"/>
      <c r="C261" s="432"/>
      <c r="D261" s="421"/>
      <c r="E261" s="421"/>
      <c r="F261" s="422"/>
      <c r="G261" s="342"/>
      <c r="H261" s="344"/>
      <c r="I261" s="423" t="s">
        <v>283</v>
      </c>
      <c r="J261" s="424">
        <f>SUM(J251:J260)</f>
        <v>0</v>
      </c>
      <c r="K261" s="425">
        <f>SUM(K251:K260)</f>
        <v>0</v>
      </c>
      <c r="L261" s="435"/>
      <c r="X261" s="437"/>
      <c r="Y261" s="437"/>
      <c r="Z261" s="437"/>
    </row>
    <row r="262" spans="2:26" s="444" customFormat="1" ht="11.25" customHeight="1" x14ac:dyDescent="0.2">
      <c r="B262" s="395"/>
      <c r="C262" s="395"/>
      <c r="D262" s="440"/>
      <c r="E262" s="440"/>
      <c r="F262" s="205"/>
      <c r="G262" s="441"/>
      <c r="H262" s="441"/>
      <c r="I262" s="441"/>
      <c r="J262" s="442"/>
      <c r="K262" s="442"/>
      <c r="L262" s="443"/>
      <c r="X262" s="445"/>
      <c r="Y262" s="445"/>
      <c r="Z262" s="445"/>
    </row>
    <row r="263" spans="2:26" s="449" customFormat="1" ht="9.75" customHeight="1" x14ac:dyDescent="0.25">
      <c r="B263" s="197"/>
      <c r="C263" s="197"/>
      <c r="D263" s="446"/>
      <c r="E263" s="447"/>
      <c r="F263" s="199"/>
      <c r="G263" s="199"/>
      <c r="H263" s="199"/>
      <c r="I263" s="199"/>
      <c r="J263" s="199"/>
      <c r="K263" s="448"/>
      <c r="L263" s="443"/>
      <c r="X263" s="450"/>
      <c r="Y263" s="450"/>
      <c r="Z263" s="450"/>
    </row>
    <row r="264" spans="2:26" s="436" customFormat="1" ht="18" x14ac:dyDescent="0.25">
      <c r="B264" s="451">
        <v>2</v>
      </c>
      <c r="C264" s="2924" t="s">
        <v>326</v>
      </c>
      <c r="D264" s="2924"/>
      <c r="E264" s="2924"/>
      <c r="F264" s="2924"/>
      <c r="G264" s="2924"/>
      <c r="H264" s="2924"/>
      <c r="I264" s="2924"/>
      <c r="J264" s="2924"/>
      <c r="K264" s="2925"/>
      <c r="L264" s="435"/>
      <c r="X264" s="437"/>
      <c r="Y264" s="437"/>
      <c r="Z264" s="437"/>
    </row>
    <row r="265" spans="2:26" x14ac:dyDescent="0.2">
      <c r="B265" s="452"/>
      <c r="C265" s="453"/>
      <c r="D265" s="453"/>
      <c r="E265" s="453"/>
      <c r="F265" s="453"/>
      <c r="G265" s="426" t="s">
        <v>280</v>
      </c>
      <c r="H265" s="454" t="s">
        <v>496</v>
      </c>
      <c r="I265" s="412" t="s">
        <v>442</v>
      </c>
      <c r="J265" s="412" t="s">
        <v>443</v>
      </c>
      <c r="K265" s="413" t="s">
        <v>443</v>
      </c>
      <c r="L265" s="200"/>
    </row>
    <row r="266" spans="2:26" x14ac:dyDescent="0.2">
      <c r="B266" s="455"/>
      <c r="C266" s="456"/>
      <c r="D266" s="307"/>
      <c r="E266" s="307"/>
      <c r="F266" s="307"/>
      <c r="G266" s="338" t="s">
        <v>444</v>
      </c>
      <c r="H266" s="338" t="s">
        <v>497</v>
      </c>
      <c r="I266" s="258" t="s">
        <v>448</v>
      </c>
      <c r="J266" s="258" t="s">
        <v>445</v>
      </c>
      <c r="K266" s="259" t="s">
        <v>315</v>
      </c>
      <c r="L266" s="200"/>
    </row>
    <row r="267" spans="2:26" s="438" customFormat="1" ht="12.75" x14ac:dyDescent="0.2">
      <c r="B267" s="457"/>
      <c r="C267" s="458" t="s">
        <v>498</v>
      </c>
      <c r="D267" s="459"/>
      <c r="E267" s="460"/>
      <c r="F267" s="460"/>
      <c r="G267" s="1476"/>
      <c r="H267" s="461" t="s">
        <v>20</v>
      </c>
      <c r="I267" s="462">
        <v>1</v>
      </c>
      <c r="J267" s="463">
        <f>K267*15</f>
        <v>0</v>
      </c>
      <c r="K267" s="464">
        <f>G267*I267</f>
        <v>0</v>
      </c>
      <c r="L267" s="439"/>
      <c r="X267" s="437"/>
      <c r="Y267" s="437"/>
      <c r="Z267" s="437"/>
    </row>
    <row r="268" spans="2:26" s="438" customFormat="1" ht="12.75" x14ac:dyDescent="0.2">
      <c r="B268" s="457"/>
      <c r="C268" s="465" t="s">
        <v>499</v>
      </c>
      <c r="D268" s="466"/>
      <c r="E268" s="467"/>
      <c r="F268" s="467"/>
      <c r="G268" s="279"/>
      <c r="H268" s="468" t="s">
        <v>20</v>
      </c>
      <c r="I268" s="469">
        <v>0.5</v>
      </c>
      <c r="J268" s="380">
        <f>K268*15</f>
        <v>0</v>
      </c>
      <c r="K268" s="312">
        <f>G268*I268</f>
        <v>0</v>
      </c>
      <c r="X268" s="437"/>
      <c r="Y268" s="437"/>
      <c r="Z268" s="437"/>
    </row>
    <row r="269" spans="2:26" s="438" customFormat="1" ht="12.75" x14ac:dyDescent="0.2">
      <c r="B269" s="470"/>
      <c r="C269" s="471" t="s">
        <v>500</v>
      </c>
      <c r="D269" s="472"/>
      <c r="E269" s="473"/>
      <c r="F269" s="473"/>
      <c r="G269" s="474"/>
      <c r="H269" s="475" t="s">
        <v>20</v>
      </c>
      <c r="I269" s="476">
        <v>0.5</v>
      </c>
      <c r="J269" s="477">
        <f>K269*15</f>
        <v>0</v>
      </c>
      <c r="K269" s="478">
        <f>I269*G269</f>
        <v>0</v>
      </c>
      <c r="X269" s="437"/>
      <c r="Y269" s="437"/>
      <c r="Z269" s="437"/>
    </row>
    <row r="270" spans="2:26" s="436" customFormat="1" ht="12.75" x14ac:dyDescent="0.2">
      <c r="B270" s="470"/>
      <c r="C270" s="471" t="s">
        <v>501</v>
      </c>
      <c r="D270" s="472"/>
      <c r="E270" s="473"/>
      <c r="F270" s="473"/>
      <c r="G270" s="479" t="s">
        <v>20</v>
      </c>
      <c r="H270" s="480"/>
      <c r="I270" s="380">
        <v>0.25</v>
      </c>
      <c r="J270" s="380">
        <f>K270*15</f>
        <v>0</v>
      </c>
      <c r="K270" s="478">
        <f>I270*H270</f>
        <v>0</v>
      </c>
      <c r="X270" s="437"/>
      <c r="Y270" s="437"/>
      <c r="Z270" s="437"/>
    </row>
    <row r="271" spans="2:26" s="444" customFormat="1" ht="21" customHeight="1" x14ac:dyDescent="0.2">
      <c r="B271" s="481"/>
      <c r="C271" s="432"/>
      <c r="D271" s="482"/>
      <c r="E271" s="482"/>
      <c r="F271" s="482"/>
      <c r="G271" s="422"/>
      <c r="H271" s="422"/>
      <c r="I271" s="423" t="s">
        <v>283</v>
      </c>
      <c r="J271" s="483">
        <f>SUM(J267:J270)</f>
        <v>0</v>
      </c>
      <c r="K271" s="484">
        <f>SUM(K267:K270)</f>
        <v>0</v>
      </c>
      <c r="X271" s="445"/>
      <c r="Y271" s="445"/>
      <c r="Z271" s="445"/>
    </row>
    <row r="272" spans="2:26" s="443" customFormat="1" ht="11.25" customHeight="1" x14ac:dyDescent="0.2">
      <c r="B272" s="485"/>
      <c r="C272" s="485"/>
      <c r="D272" s="486"/>
      <c r="E272" s="486"/>
      <c r="F272" s="486"/>
      <c r="G272" s="486"/>
      <c r="H272" s="487"/>
      <c r="I272" s="441"/>
      <c r="J272" s="401"/>
      <c r="K272" s="401"/>
      <c r="X272" s="488"/>
      <c r="Y272" s="488"/>
      <c r="Z272" s="488"/>
    </row>
    <row r="273" spans="2:26" s="494" customFormat="1" ht="12" customHeight="1" x14ac:dyDescent="0.2">
      <c r="B273" s="489"/>
      <c r="C273" s="489"/>
      <c r="D273" s="490"/>
      <c r="E273" s="491"/>
      <c r="F273" s="492"/>
      <c r="G273" s="492"/>
      <c r="H273" s="492"/>
      <c r="I273" s="492"/>
      <c r="J273" s="493"/>
      <c r="K273" s="493"/>
      <c r="X273" s="495"/>
      <c r="Y273" s="495"/>
      <c r="Z273" s="495"/>
    </row>
    <row r="274" spans="2:26" ht="18" x14ac:dyDescent="0.25">
      <c r="B274" s="496">
        <v>3</v>
      </c>
      <c r="C274" s="497" t="s">
        <v>327</v>
      </c>
      <c r="D274" s="498"/>
      <c r="E274" s="498"/>
      <c r="F274" s="498"/>
      <c r="G274" s="498"/>
      <c r="H274" s="498"/>
      <c r="I274" s="498"/>
      <c r="J274" s="498"/>
      <c r="K274" s="499"/>
    </row>
    <row r="275" spans="2:26" ht="14.25" customHeight="1" x14ac:dyDescent="0.2">
      <c r="B275" s="452"/>
      <c r="C275" s="453"/>
      <c r="D275" s="453"/>
      <c r="E275" s="453"/>
      <c r="F275" s="453"/>
      <c r="G275" s="500"/>
      <c r="H275" s="501" t="s">
        <v>280</v>
      </c>
      <c r="I275" s="502" t="s">
        <v>442</v>
      </c>
      <c r="J275" s="503" t="s">
        <v>443</v>
      </c>
      <c r="K275" s="503" t="s">
        <v>443</v>
      </c>
    </row>
    <row r="276" spans="2:26" s="436" customFormat="1" ht="12.75" x14ac:dyDescent="0.2">
      <c r="B276" s="455"/>
      <c r="C276" s="456"/>
      <c r="D276" s="307"/>
      <c r="E276" s="307"/>
      <c r="F276" s="307"/>
      <c r="G276" s="366"/>
      <c r="H276" s="504" t="s">
        <v>444</v>
      </c>
      <c r="I276" s="505" t="s">
        <v>448</v>
      </c>
      <c r="J276" s="506" t="s">
        <v>445</v>
      </c>
      <c r="K276" s="506" t="s">
        <v>315</v>
      </c>
      <c r="X276" s="437"/>
      <c r="Y276" s="437"/>
      <c r="Z276" s="437"/>
    </row>
    <row r="277" spans="2:26" s="436" customFormat="1" ht="12.75" x14ac:dyDescent="0.2">
      <c r="B277" s="507"/>
      <c r="C277" s="508" t="s">
        <v>502</v>
      </c>
      <c r="D277" s="509"/>
      <c r="E277" s="509"/>
      <c r="F277" s="509"/>
      <c r="G277" s="509"/>
      <c r="H277" s="1479"/>
      <c r="I277" s="511">
        <v>1</v>
      </c>
      <c r="J277" s="512">
        <f>K277*15</f>
        <v>0</v>
      </c>
      <c r="K277" s="464">
        <f>H277*I277</f>
        <v>0</v>
      </c>
      <c r="X277" s="437"/>
      <c r="Y277" s="437"/>
      <c r="Z277" s="437"/>
    </row>
    <row r="278" spans="2:26" s="436" customFormat="1" ht="12.75" x14ac:dyDescent="0.2">
      <c r="B278" s="507"/>
      <c r="C278" s="513" t="s">
        <v>503</v>
      </c>
      <c r="D278" s="514"/>
      <c r="E278" s="514"/>
      <c r="F278" s="514"/>
      <c r="G278" s="514"/>
      <c r="H278" s="515"/>
      <c r="I278" s="380">
        <v>0.25</v>
      </c>
      <c r="J278" s="477">
        <f>K278*15</f>
        <v>0</v>
      </c>
      <c r="K278" s="312">
        <f>H278*I278</f>
        <v>0</v>
      </c>
      <c r="X278" s="437"/>
      <c r="Y278" s="437"/>
      <c r="Z278" s="437"/>
    </row>
    <row r="279" spans="2:26" s="438" customFormat="1" ht="12.75" x14ac:dyDescent="0.2">
      <c r="B279" s="507"/>
      <c r="C279" s="516" t="s">
        <v>500</v>
      </c>
      <c r="D279" s="514"/>
      <c r="E279" s="514"/>
      <c r="F279" s="514"/>
      <c r="G279" s="514"/>
      <c r="H279" s="515"/>
      <c r="I279" s="380">
        <v>0.25</v>
      </c>
      <c r="J279" s="477">
        <f>K279*15</f>
        <v>0</v>
      </c>
      <c r="K279" s="312">
        <f>H279*I279</f>
        <v>0</v>
      </c>
      <c r="X279" s="437"/>
      <c r="Y279" s="437"/>
      <c r="Z279" s="437"/>
    </row>
    <row r="280" spans="2:26" s="436" customFormat="1" ht="15" x14ac:dyDescent="0.2">
      <c r="B280" s="313"/>
      <c r="C280" s="517"/>
      <c r="D280" s="518"/>
      <c r="E280" s="518"/>
      <c r="F280" s="518"/>
      <c r="G280" s="518"/>
      <c r="H280" s="344"/>
      <c r="I280" s="423" t="s">
        <v>283</v>
      </c>
      <c r="J280" s="483">
        <f>SUM(J277:J279)</f>
        <v>0</v>
      </c>
      <c r="K280" s="484">
        <f>SUM(K277:K279)</f>
        <v>0</v>
      </c>
      <c r="X280" s="437"/>
      <c r="Y280" s="437"/>
      <c r="Z280" s="437"/>
    </row>
    <row r="281" spans="2:26" s="214" customFormat="1" ht="12" customHeight="1" x14ac:dyDescent="0.2">
      <c r="B281" s="355"/>
      <c r="C281" s="355"/>
      <c r="D281" s="519"/>
      <c r="E281" s="519"/>
      <c r="F281" s="519"/>
      <c r="G281" s="519"/>
      <c r="H281" s="205"/>
      <c r="I281" s="441"/>
      <c r="J281" s="401"/>
      <c r="K281" s="401"/>
      <c r="X281" s="222"/>
      <c r="Y281" s="222"/>
      <c r="Z281" s="222"/>
    </row>
    <row r="282" spans="2:26" s="395" customFormat="1" ht="12" customHeight="1" x14ac:dyDescent="0.2">
      <c r="B282" s="197"/>
      <c r="C282" s="197"/>
      <c r="D282" s="520"/>
      <c r="E282" s="199"/>
      <c r="F282" s="197"/>
      <c r="G282" s="199"/>
      <c r="H282" s="199"/>
      <c r="I282" s="199"/>
      <c r="J282" s="197"/>
      <c r="K282" s="197"/>
      <c r="X282" s="205"/>
      <c r="Y282" s="205"/>
      <c r="Z282" s="205"/>
    </row>
    <row r="283" spans="2:26" s="494" customFormat="1" ht="18" x14ac:dyDescent="0.25">
      <c r="B283" s="496">
        <v>4</v>
      </c>
      <c r="C283" s="497" t="s">
        <v>328</v>
      </c>
      <c r="D283" s="497"/>
      <c r="E283" s="497"/>
      <c r="F283" s="497"/>
      <c r="G283" s="497"/>
      <c r="H283" s="497"/>
      <c r="I283" s="497"/>
      <c r="J283" s="497"/>
      <c r="K283" s="521"/>
      <c r="X283" s="495"/>
      <c r="Y283" s="495"/>
      <c r="Z283" s="495"/>
    </row>
    <row r="284" spans="2:26" x14ac:dyDescent="0.2">
      <c r="B284" s="452"/>
      <c r="C284" s="453"/>
      <c r="D284" s="453"/>
      <c r="E284" s="453"/>
      <c r="F284" s="453"/>
      <c r="G284" s="426" t="s">
        <v>280</v>
      </c>
      <c r="H284" s="454" t="s">
        <v>496</v>
      </c>
      <c r="I284" s="412" t="s">
        <v>442</v>
      </c>
      <c r="J284" s="412" t="s">
        <v>443</v>
      </c>
      <c r="K284" s="413" t="s">
        <v>443</v>
      </c>
    </row>
    <row r="285" spans="2:26" ht="12.75" customHeight="1" x14ac:dyDescent="0.2">
      <c r="B285" s="455"/>
      <c r="C285" s="456"/>
      <c r="D285" s="307"/>
      <c r="E285" s="307"/>
      <c r="F285" s="307"/>
      <c r="G285" s="338" t="s">
        <v>444</v>
      </c>
      <c r="H285" s="338" t="s">
        <v>497</v>
      </c>
      <c r="I285" s="258" t="s">
        <v>448</v>
      </c>
      <c r="J285" s="258" t="s">
        <v>445</v>
      </c>
      <c r="K285" s="259" t="s">
        <v>315</v>
      </c>
    </row>
    <row r="286" spans="2:26" s="436" customFormat="1" ht="12.75" x14ac:dyDescent="0.2">
      <c r="B286" s="522"/>
      <c r="C286" s="460" t="s">
        <v>504</v>
      </c>
      <c r="D286" s="523"/>
      <c r="E286" s="523"/>
      <c r="F286" s="523"/>
      <c r="G286" s="510"/>
      <c r="H286" s="461" t="s">
        <v>20</v>
      </c>
      <c r="I286" s="511">
        <v>1</v>
      </c>
      <c r="J286" s="463">
        <f>G286*I286*15</f>
        <v>0</v>
      </c>
      <c r="K286" s="464">
        <f>J286/15</f>
        <v>0</v>
      </c>
      <c r="X286" s="437"/>
      <c r="Y286" s="437"/>
      <c r="Z286" s="437"/>
    </row>
    <row r="287" spans="2:26" s="438" customFormat="1" ht="12.75" x14ac:dyDescent="0.2">
      <c r="B287" s="524"/>
      <c r="C287" s="467" t="s">
        <v>499</v>
      </c>
      <c r="D287" s="525"/>
      <c r="E287" s="525"/>
      <c r="F287" s="525"/>
      <c r="G287" s="515"/>
      <c r="H287" s="468" t="s">
        <v>20</v>
      </c>
      <c r="I287" s="469">
        <v>0.5</v>
      </c>
      <c r="J287" s="380">
        <f>G287*I287*15</f>
        <v>0</v>
      </c>
      <c r="K287" s="312">
        <f>J287/15</f>
        <v>0</v>
      </c>
      <c r="X287" s="437"/>
      <c r="Y287" s="437"/>
      <c r="Z287" s="437"/>
    </row>
    <row r="288" spans="2:26" s="436" customFormat="1" ht="12.75" x14ac:dyDescent="0.2">
      <c r="B288" s="524"/>
      <c r="C288" s="467" t="s">
        <v>505</v>
      </c>
      <c r="D288" s="525"/>
      <c r="E288" s="525"/>
      <c r="F288" s="525"/>
      <c r="G288" s="468" t="s">
        <v>20</v>
      </c>
      <c r="H288" s="515"/>
      <c r="I288" s="379">
        <v>5</v>
      </c>
      <c r="J288" s="380">
        <f>H288*I288</f>
        <v>0</v>
      </c>
      <c r="K288" s="312">
        <f>J288/15</f>
        <v>0</v>
      </c>
      <c r="X288" s="437"/>
      <c r="Y288" s="437"/>
      <c r="Z288" s="437"/>
    </row>
    <row r="289" spans="2:26" s="494" customFormat="1" x14ac:dyDescent="0.2">
      <c r="B289" s="507"/>
      <c r="C289" s="526" t="s">
        <v>500</v>
      </c>
      <c r="D289" s="473"/>
      <c r="E289" s="473"/>
      <c r="F289" s="473"/>
      <c r="G289" s="474"/>
      <c r="H289" s="475" t="s">
        <v>20</v>
      </c>
      <c r="I289" s="479" t="s">
        <v>20</v>
      </c>
      <c r="J289" s="477">
        <f>K289*15</f>
        <v>0</v>
      </c>
      <c r="K289" s="478">
        <f>IF(AND(G289&lt;&gt;0,G289&lt;&gt;""),IF(G289&lt;&gt;"",IF(G289&lt;20,0.5,1),0),0)</f>
        <v>0</v>
      </c>
      <c r="X289" s="495"/>
      <c r="Y289" s="495"/>
      <c r="Z289" s="495"/>
    </row>
    <row r="290" spans="2:26" s="527" customFormat="1" ht="15" x14ac:dyDescent="0.2">
      <c r="B290" s="313"/>
      <c r="C290" s="517"/>
      <c r="D290" s="518"/>
      <c r="E290" s="518"/>
      <c r="F290" s="518"/>
      <c r="G290" s="344"/>
      <c r="H290" s="344"/>
      <c r="I290" s="423" t="s">
        <v>283</v>
      </c>
      <c r="J290" s="483">
        <f>SUM(J286:J289)</f>
        <v>0</v>
      </c>
      <c r="K290" s="484">
        <f>SUM(K286:K289)</f>
        <v>0</v>
      </c>
      <c r="X290" s="528"/>
      <c r="Y290" s="528"/>
      <c r="Z290" s="528"/>
    </row>
    <row r="291" spans="2:26" s="494" customFormat="1" ht="12" customHeight="1" x14ac:dyDescent="0.2">
      <c r="B291" s="355"/>
      <c r="C291" s="355"/>
      <c r="D291" s="519"/>
      <c r="E291" s="519"/>
      <c r="F291" s="519"/>
      <c r="G291" s="519"/>
      <c r="H291" s="205"/>
      <c r="I291" s="441"/>
      <c r="J291" s="401"/>
      <c r="K291" s="401"/>
      <c r="X291" s="495"/>
      <c r="Y291" s="495"/>
      <c r="Z291" s="495"/>
    </row>
    <row r="292" spans="2:26" ht="12" customHeight="1" x14ac:dyDescent="0.2">
      <c r="B292" s="197"/>
      <c r="C292" s="197"/>
      <c r="D292" s="520"/>
      <c r="E292" s="199"/>
      <c r="F292" s="197"/>
      <c r="G292" s="199"/>
      <c r="H292" s="199"/>
      <c r="I292" s="199"/>
      <c r="J292" s="197"/>
      <c r="K292" s="197"/>
      <c r="L292" s="214"/>
    </row>
    <row r="293" spans="2:26" s="214" customFormat="1" ht="21" customHeight="1" x14ac:dyDescent="0.25">
      <c r="B293" s="496">
        <v>5</v>
      </c>
      <c r="C293" s="497" t="s">
        <v>329</v>
      </c>
      <c r="D293" s="497"/>
      <c r="E293" s="497"/>
      <c r="F293" s="497"/>
      <c r="G293" s="497"/>
      <c r="H293" s="497"/>
      <c r="I293" s="497"/>
      <c r="J293" s="497"/>
      <c r="K293" s="521"/>
      <c r="L293" s="187"/>
      <c r="X293" s="222"/>
      <c r="Y293" s="222"/>
      <c r="Z293" s="222"/>
    </row>
    <row r="294" spans="2:26" x14ac:dyDescent="0.2">
      <c r="B294" s="452"/>
      <c r="C294" s="453"/>
      <c r="D294" s="453"/>
      <c r="E294" s="453"/>
      <c r="F294" s="453"/>
      <c r="G294" s="426" t="s">
        <v>280</v>
      </c>
      <c r="H294" s="454" t="s">
        <v>496</v>
      </c>
      <c r="I294" s="412" t="s">
        <v>442</v>
      </c>
      <c r="J294" s="412" t="s">
        <v>443</v>
      </c>
      <c r="K294" s="413" t="s">
        <v>443</v>
      </c>
      <c r="L294" s="436"/>
    </row>
    <row r="295" spans="2:26" s="436" customFormat="1" ht="12.75" x14ac:dyDescent="0.2">
      <c r="B295" s="455"/>
      <c r="C295" s="456"/>
      <c r="D295" s="307"/>
      <c r="E295" s="307"/>
      <c r="F295" s="307"/>
      <c r="G295" s="338" t="s">
        <v>444</v>
      </c>
      <c r="H295" s="338" t="s">
        <v>497</v>
      </c>
      <c r="I295" s="258" t="s">
        <v>448</v>
      </c>
      <c r="J295" s="258" t="s">
        <v>445</v>
      </c>
      <c r="K295" s="259" t="s">
        <v>315</v>
      </c>
      <c r="X295" s="437"/>
      <c r="Y295" s="437"/>
      <c r="Z295" s="437"/>
    </row>
    <row r="296" spans="2:26" s="436" customFormat="1" ht="12.75" x14ac:dyDescent="0.2">
      <c r="B296" s="522"/>
      <c r="C296" s="529" t="s">
        <v>506</v>
      </c>
      <c r="D296" s="530"/>
      <c r="E296" s="525"/>
      <c r="F296" s="525"/>
      <c r="G296" s="475" t="s">
        <v>20</v>
      </c>
      <c r="H296" s="279"/>
      <c r="I296" s="379">
        <v>5</v>
      </c>
      <c r="J296" s="380">
        <f>H296*I296</f>
        <v>0</v>
      </c>
      <c r="K296" s="312">
        <f>J296/15</f>
        <v>0</v>
      </c>
      <c r="X296" s="437"/>
      <c r="Y296" s="437"/>
      <c r="Z296" s="437"/>
    </row>
    <row r="297" spans="2:26" s="436" customFormat="1" x14ac:dyDescent="0.2">
      <c r="B297" s="507"/>
      <c r="C297" s="531" t="s">
        <v>507</v>
      </c>
      <c r="D297" s="472"/>
      <c r="E297" s="473"/>
      <c r="F297" s="473"/>
      <c r="G297" s="1480"/>
      <c r="H297" s="475" t="s">
        <v>20</v>
      </c>
      <c r="I297" s="379">
        <v>0.5</v>
      </c>
      <c r="J297" s="477">
        <f>K297*15</f>
        <v>0</v>
      </c>
      <c r="K297" s="478">
        <f>IF(AND(G297&lt;&gt;"",G297&lt;&gt;0),IF(G297&lt;&gt;"",IF(G297&lt;20,0.5,1),0),0)</f>
        <v>0</v>
      </c>
      <c r="L297" s="532"/>
      <c r="X297" s="437"/>
      <c r="Y297" s="437"/>
      <c r="Z297" s="437"/>
    </row>
    <row r="298" spans="2:26" s="444" customFormat="1" ht="21" customHeight="1" x14ac:dyDescent="0.2">
      <c r="B298" s="340"/>
      <c r="C298" s="391"/>
      <c r="D298" s="533"/>
      <c r="E298" s="533"/>
      <c r="F298" s="533"/>
      <c r="G298" s="344"/>
      <c r="H298" s="344"/>
      <c r="I298" s="423" t="s">
        <v>283</v>
      </c>
      <c r="J298" s="483">
        <f>SUM(J296:J297)</f>
        <v>0</v>
      </c>
      <c r="K298" s="484">
        <f>SUM(K296:K297)</f>
        <v>0</v>
      </c>
      <c r="L298" s="214"/>
      <c r="X298" s="445"/>
      <c r="Y298" s="445"/>
      <c r="Z298" s="445"/>
    </row>
    <row r="299" spans="2:26" s="535" customFormat="1" ht="12" customHeight="1" x14ac:dyDescent="0.2">
      <c r="B299" s="395"/>
      <c r="C299" s="395"/>
      <c r="D299" s="534"/>
      <c r="E299" s="534"/>
      <c r="F299" s="534"/>
      <c r="G299" s="534"/>
      <c r="H299" s="205"/>
      <c r="I299" s="441"/>
      <c r="J299" s="401"/>
      <c r="K299" s="401"/>
      <c r="L299" s="404"/>
      <c r="X299" s="536"/>
      <c r="Y299" s="536"/>
      <c r="Z299" s="536"/>
    </row>
    <row r="300" spans="2:26" s="214" customFormat="1" ht="12" customHeight="1" x14ac:dyDescent="0.2">
      <c r="B300" s="197"/>
      <c r="C300" s="197"/>
      <c r="D300" s="520"/>
      <c r="E300" s="199"/>
      <c r="F300" s="197"/>
      <c r="G300" s="199"/>
      <c r="H300" s="199"/>
      <c r="I300" s="199"/>
      <c r="J300" s="197"/>
      <c r="K300" s="197"/>
      <c r="L300" s="187"/>
      <c r="X300" s="222"/>
      <c r="Y300" s="222"/>
      <c r="Z300" s="222"/>
    </row>
    <row r="301" spans="2:26" ht="18" x14ac:dyDescent="0.25">
      <c r="B301" s="496">
        <v>6</v>
      </c>
      <c r="C301" s="497" t="s">
        <v>508</v>
      </c>
      <c r="D301" s="497"/>
      <c r="E301" s="497"/>
      <c r="F301" s="497"/>
      <c r="G301" s="497"/>
      <c r="H301" s="497"/>
      <c r="I301" s="497"/>
      <c r="J301" s="497"/>
      <c r="K301" s="521"/>
      <c r="L301" s="537"/>
    </row>
    <row r="302" spans="2:26" s="537" customFormat="1" ht="15" x14ac:dyDescent="0.2">
      <c r="B302" s="223">
        <v>6.1</v>
      </c>
      <c r="C302" s="224" t="s">
        <v>509</v>
      </c>
      <c r="D302" s="225"/>
      <c r="E302" s="225"/>
      <c r="F302" s="225"/>
      <c r="G302" s="225"/>
      <c r="H302" s="227"/>
      <c r="I302" s="227"/>
      <c r="J302" s="538"/>
      <c r="K302" s="408"/>
      <c r="X302" s="539"/>
      <c r="Y302" s="539"/>
      <c r="Z302" s="539"/>
    </row>
    <row r="303" spans="2:26" s="537" customFormat="1" ht="12.75" x14ac:dyDescent="0.2">
      <c r="B303" s="452"/>
      <c r="C303" s="453"/>
      <c r="D303" s="453"/>
      <c r="E303" s="453"/>
      <c r="F303" s="453"/>
      <c r="G303" s="453"/>
      <c r="H303" s="426" t="s">
        <v>280</v>
      </c>
      <c r="I303" s="412" t="s">
        <v>442</v>
      </c>
      <c r="J303" s="412" t="s">
        <v>443</v>
      </c>
      <c r="K303" s="413" t="s">
        <v>443</v>
      </c>
      <c r="L303" s="436"/>
      <c r="X303" s="539"/>
      <c r="Y303" s="539"/>
      <c r="Z303" s="539"/>
    </row>
    <row r="304" spans="2:26" s="436" customFormat="1" x14ac:dyDescent="0.2">
      <c r="B304" s="455"/>
      <c r="C304" s="456"/>
      <c r="D304" s="307"/>
      <c r="E304" s="307"/>
      <c r="F304" s="307"/>
      <c r="G304" s="307"/>
      <c r="H304" s="338" t="s">
        <v>444</v>
      </c>
      <c r="I304" s="258" t="s">
        <v>448</v>
      </c>
      <c r="J304" s="258" t="s">
        <v>445</v>
      </c>
      <c r="K304" s="259" t="s">
        <v>315</v>
      </c>
      <c r="L304" s="532"/>
      <c r="X304" s="437"/>
      <c r="Y304" s="437"/>
      <c r="Z304" s="437"/>
    </row>
    <row r="305" spans="2:26" s="444" customFormat="1" x14ac:dyDescent="0.2">
      <c r="B305" s="522"/>
      <c r="C305" s="540" t="s">
        <v>510</v>
      </c>
      <c r="D305" s="467"/>
      <c r="E305" s="467"/>
      <c r="F305" s="467"/>
      <c r="G305" s="467"/>
      <c r="H305" s="279"/>
      <c r="I305" s="541">
        <v>3</v>
      </c>
      <c r="J305" s="380">
        <f>K305*15</f>
        <v>0</v>
      </c>
      <c r="K305" s="312">
        <f>I305*H305</f>
        <v>0</v>
      </c>
      <c r="L305" s="214"/>
      <c r="X305" s="445"/>
      <c r="Y305" s="445"/>
      <c r="Z305" s="445"/>
    </row>
    <row r="306" spans="2:26" s="535" customFormat="1" x14ac:dyDescent="0.2">
      <c r="B306" s="524"/>
      <c r="C306" s="540" t="s">
        <v>511</v>
      </c>
      <c r="D306" s="542"/>
      <c r="E306" s="542"/>
      <c r="F306" s="542"/>
      <c r="G306" s="542"/>
      <c r="H306" s="279"/>
      <c r="I306" s="469">
        <v>1.5</v>
      </c>
      <c r="J306" s="380">
        <f>K306*15</f>
        <v>0</v>
      </c>
      <c r="K306" s="312">
        <f>I306*H306</f>
        <v>0</v>
      </c>
      <c r="L306" s="404"/>
      <c r="X306" s="536"/>
      <c r="Y306" s="536"/>
      <c r="Z306" s="536"/>
    </row>
    <row r="307" spans="2:26" s="214" customFormat="1" ht="21" customHeight="1" x14ac:dyDescent="0.2">
      <c r="B307" s="340"/>
      <c r="C307" s="391"/>
      <c r="D307" s="533"/>
      <c r="E307" s="533"/>
      <c r="F307" s="533"/>
      <c r="G307" s="533"/>
      <c r="H307" s="344"/>
      <c r="I307" s="423" t="s">
        <v>283</v>
      </c>
      <c r="J307" s="483">
        <f>SUM(J305:J306)</f>
        <v>0</v>
      </c>
      <c r="K307" s="484">
        <f>SUM(K305:K306)</f>
        <v>0</v>
      </c>
      <c r="L307" s="187"/>
      <c r="X307" s="222"/>
      <c r="Y307" s="222"/>
      <c r="Z307" s="222"/>
    </row>
    <row r="308" spans="2:26" ht="9.75" customHeight="1" x14ac:dyDescent="0.2">
      <c r="B308" s="543"/>
      <c r="C308" s="544"/>
      <c r="D308" s="545"/>
      <c r="E308" s="545"/>
      <c r="F308" s="545"/>
      <c r="G308" s="545"/>
      <c r="H308" s="546"/>
      <c r="I308" s="546"/>
      <c r="J308" s="547"/>
      <c r="K308" s="548"/>
      <c r="L308" s="197"/>
    </row>
    <row r="309" spans="2:26" s="436" customFormat="1" ht="15" x14ac:dyDescent="0.2">
      <c r="B309" s="223">
        <v>6.2</v>
      </c>
      <c r="C309" s="224" t="s">
        <v>512</v>
      </c>
      <c r="D309" s="225"/>
      <c r="E309" s="225"/>
      <c r="F309" s="225"/>
      <c r="G309" s="225"/>
      <c r="H309" s="549"/>
      <c r="I309" s="226"/>
      <c r="J309" s="225"/>
      <c r="K309" s="550"/>
      <c r="L309" s="551"/>
      <c r="X309" s="437"/>
      <c r="Y309" s="437"/>
      <c r="Z309" s="437"/>
    </row>
    <row r="310" spans="2:26" s="436" customFormat="1" ht="12.75" x14ac:dyDescent="0.2">
      <c r="B310" s="452"/>
      <c r="C310" s="453"/>
      <c r="D310" s="453"/>
      <c r="E310" s="453"/>
      <c r="F310" s="453"/>
      <c r="G310" s="453"/>
      <c r="H310" s="426" t="s">
        <v>280</v>
      </c>
      <c r="I310" s="412" t="s">
        <v>442</v>
      </c>
      <c r="J310" s="412" t="s">
        <v>443</v>
      </c>
      <c r="K310" s="413" t="s">
        <v>443</v>
      </c>
      <c r="L310" s="551"/>
      <c r="X310" s="437"/>
      <c r="Y310" s="437"/>
      <c r="Z310" s="437"/>
    </row>
    <row r="311" spans="2:26" s="436" customFormat="1" ht="12.75" x14ac:dyDescent="0.2">
      <c r="B311" s="455"/>
      <c r="C311" s="456"/>
      <c r="D311" s="307"/>
      <c r="E311" s="307"/>
      <c r="F311" s="307"/>
      <c r="G311" s="307"/>
      <c r="H311" s="338" t="s">
        <v>444</v>
      </c>
      <c r="I311" s="258" t="s">
        <v>448</v>
      </c>
      <c r="J311" s="258" t="s">
        <v>445</v>
      </c>
      <c r="K311" s="259" t="s">
        <v>315</v>
      </c>
      <c r="L311" s="551"/>
      <c r="X311" s="437"/>
      <c r="Y311" s="437"/>
      <c r="Z311" s="437"/>
    </row>
    <row r="312" spans="2:26" s="444" customFormat="1" x14ac:dyDescent="0.2">
      <c r="B312" s="552"/>
      <c r="C312" s="553" t="s">
        <v>513</v>
      </c>
      <c r="D312" s="554"/>
      <c r="E312" s="555"/>
      <c r="F312" s="555"/>
      <c r="G312" s="555"/>
      <c r="H312" s="279"/>
      <c r="I312" s="541">
        <v>2</v>
      </c>
      <c r="J312" s="380">
        <f>K312*15</f>
        <v>0</v>
      </c>
      <c r="K312" s="312">
        <f>H312*I312</f>
        <v>0</v>
      </c>
      <c r="L312" s="232"/>
      <c r="X312" s="445"/>
      <c r="Y312" s="445"/>
      <c r="Z312" s="445"/>
    </row>
    <row r="313" spans="2:26" s="535" customFormat="1" x14ac:dyDescent="0.2">
      <c r="B313" s="556"/>
      <c r="C313" s="553" t="s">
        <v>514</v>
      </c>
      <c r="D313" s="554"/>
      <c r="E313" s="555"/>
      <c r="F313" s="555"/>
      <c r="G313" s="555"/>
      <c r="H313" s="279"/>
      <c r="I313" s="541">
        <v>1</v>
      </c>
      <c r="J313" s="380">
        <f>K313*15</f>
        <v>0</v>
      </c>
      <c r="K313" s="312">
        <f>H313*I313</f>
        <v>0</v>
      </c>
      <c r="L313" s="557"/>
      <c r="X313" s="536"/>
      <c r="Y313" s="536"/>
      <c r="Z313" s="536"/>
    </row>
    <row r="314" spans="2:26" s="214" customFormat="1" ht="21" customHeight="1" x14ac:dyDescent="0.2">
      <c r="B314" s="340"/>
      <c r="C314" s="391"/>
      <c r="D314" s="533"/>
      <c r="E314" s="533"/>
      <c r="F314" s="533"/>
      <c r="G314" s="533"/>
      <c r="H314" s="344"/>
      <c r="I314" s="423" t="s">
        <v>283</v>
      </c>
      <c r="J314" s="483">
        <f>SUM(J312:J313)</f>
        <v>0</v>
      </c>
      <c r="K314" s="484">
        <f>SUM(K312:K313)</f>
        <v>0</v>
      </c>
      <c r="L314" s="232"/>
      <c r="X314" s="222"/>
      <c r="Y314" s="222"/>
      <c r="Z314" s="222"/>
    </row>
    <row r="315" spans="2:26" ht="9.75" customHeight="1" x14ac:dyDescent="0.2">
      <c r="B315" s="543"/>
      <c r="C315" s="544"/>
      <c r="D315" s="545"/>
      <c r="E315" s="545"/>
      <c r="F315" s="545"/>
      <c r="G315" s="545"/>
      <c r="H315" s="546"/>
      <c r="I315" s="546"/>
      <c r="J315" s="547"/>
      <c r="K315" s="548"/>
      <c r="L315" s="197"/>
    </row>
    <row r="316" spans="2:26" s="436" customFormat="1" ht="15.75" x14ac:dyDescent="0.2">
      <c r="B316" s="223">
        <v>6.3</v>
      </c>
      <c r="C316" s="224" t="s">
        <v>515</v>
      </c>
      <c r="D316" s="558"/>
      <c r="E316" s="558"/>
      <c r="F316" s="558"/>
      <c r="G316" s="558"/>
      <c r="H316" s="226"/>
      <c r="I316" s="226"/>
      <c r="J316" s="225"/>
      <c r="K316" s="550"/>
      <c r="L316" s="551"/>
      <c r="X316" s="437"/>
      <c r="Y316" s="437"/>
      <c r="Z316" s="437"/>
    </row>
    <row r="317" spans="2:26" s="438" customFormat="1" ht="12.75" x14ac:dyDescent="0.2">
      <c r="B317" s="452"/>
      <c r="C317" s="453"/>
      <c r="D317" s="453"/>
      <c r="E317" s="453"/>
      <c r="F317" s="453"/>
      <c r="G317" s="453"/>
      <c r="H317" s="426" t="s">
        <v>280</v>
      </c>
      <c r="I317" s="412" t="s">
        <v>442</v>
      </c>
      <c r="J317" s="412" t="s">
        <v>443</v>
      </c>
      <c r="K317" s="413" t="s">
        <v>443</v>
      </c>
      <c r="L317" s="559"/>
      <c r="X317" s="437"/>
      <c r="Y317" s="437"/>
      <c r="Z317" s="437"/>
    </row>
    <row r="318" spans="2:26" s="436" customFormat="1" ht="12.75" x14ac:dyDescent="0.2">
      <c r="B318" s="455"/>
      <c r="C318" s="456"/>
      <c r="D318" s="307"/>
      <c r="E318" s="307"/>
      <c r="F318" s="307"/>
      <c r="G318" s="307"/>
      <c r="H318" s="338" t="s">
        <v>444</v>
      </c>
      <c r="I318" s="258" t="s">
        <v>448</v>
      </c>
      <c r="J318" s="258" t="s">
        <v>445</v>
      </c>
      <c r="K318" s="259" t="s">
        <v>315</v>
      </c>
      <c r="L318" s="551"/>
      <c r="X318" s="437"/>
      <c r="Y318" s="437"/>
      <c r="Z318" s="437"/>
    </row>
    <row r="319" spans="2:26" s="444" customFormat="1" x14ac:dyDescent="0.2">
      <c r="B319" s="522"/>
      <c r="C319" s="553" t="s">
        <v>516</v>
      </c>
      <c r="D319" s="513"/>
      <c r="E319" s="560"/>
      <c r="F319" s="560"/>
      <c r="G319" s="560"/>
      <c r="H319" s="279"/>
      <c r="I319" s="379">
        <v>1</v>
      </c>
      <c r="J319" s="380">
        <f>K319*15</f>
        <v>0</v>
      </c>
      <c r="K319" s="312">
        <f>H319*I319</f>
        <v>0</v>
      </c>
      <c r="L319" s="551"/>
      <c r="M319" s="436"/>
      <c r="N319" s="436"/>
      <c r="O319" s="436"/>
      <c r="P319" s="436"/>
      <c r="Q319" s="436"/>
      <c r="X319" s="445"/>
      <c r="Y319" s="445"/>
      <c r="Z319" s="445"/>
    </row>
    <row r="320" spans="2:26" s="449" customFormat="1" x14ac:dyDescent="0.2">
      <c r="B320" s="524"/>
      <c r="C320" s="553" t="s">
        <v>517</v>
      </c>
      <c r="D320" s="513"/>
      <c r="E320" s="560"/>
      <c r="F320" s="560"/>
      <c r="G320" s="560"/>
      <c r="H320" s="279"/>
      <c r="I320" s="379">
        <v>0.5</v>
      </c>
      <c r="J320" s="380">
        <f>K320*15</f>
        <v>0</v>
      </c>
      <c r="K320" s="312">
        <f>H320*I320</f>
        <v>0</v>
      </c>
      <c r="L320" s="551"/>
      <c r="M320" s="436"/>
      <c r="N320" s="436"/>
      <c r="O320" s="436"/>
      <c r="P320" s="436"/>
      <c r="Q320" s="436"/>
      <c r="X320" s="450"/>
      <c r="Y320" s="450"/>
      <c r="Z320" s="450"/>
    </row>
    <row r="321" spans="2:26" s="494" customFormat="1" ht="15" x14ac:dyDescent="0.2">
      <c r="B321" s="340"/>
      <c r="C321" s="391"/>
      <c r="D321" s="533"/>
      <c r="E321" s="533"/>
      <c r="F321" s="533"/>
      <c r="G321" s="533"/>
      <c r="H321" s="344"/>
      <c r="I321" s="423" t="s">
        <v>283</v>
      </c>
      <c r="J321" s="483">
        <f>J319+J320</f>
        <v>0</v>
      </c>
      <c r="K321" s="484">
        <f>K319+K320</f>
        <v>0</v>
      </c>
      <c r="L321" s="551"/>
      <c r="M321" s="436"/>
      <c r="N321" s="436"/>
      <c r="O321" s="436"/>
      <c r="P321" s="436"/>
      <c r="Q321" s="436"/>
      <c r="X321" s="495"/>
      <c r="Y321" s="495"/>
      <c r="Z321" s="495"/>
    </row>
    <row r="322" spans="2:26" ht="9.75" customHeight="1" x14ac:dyDescent="0.2">
      <c r="B322" s="543"/>
      <c r="C322" s="544"/>
      <c r="D322" s="545"/>
      <c r="E322" s="545"/>
      <c r="F322" s="545"/>
      <c r="G322" s="545"/>
      <c r="H322" s="546"/>
      <c r="I322" s="546"/>
      <c r="J322" s="547"/>
      <c r="K322" s="548"/>
      <c r="L322" s="551"/>
      <c r="M322" s="436"/>
      <c r="N322" s="436"/>
      <c r="O322" s="436"/>
      <c r="P322" s="436"/>
      <c r="Q322" s="436"/>
    </row>
    <row r="323" spans="2:26" s="293" customFormat="1" ht="20.25" customHeight="1" x14ac:dyDescent="0.2">
      <c r="B323" s="223">
        <v>6.4</v>
      </c>
      <c r="C323" s="224" t="s">
        <v>518</v>
      </c>
      <c r="D323" s="225"/>
      <c r="E323" s="225"/>
      <c r="F323" s="225"/>
      <c r="G323" s="225"/>
      <c r="H323" s="226"/>
      <c r="I323" s="226"/>
      <c r="J323" s="225"/>
      <c r="K323" s="550"/>
      <c r="L323" s="551"/>
      <c r="M323" s="436"/>
      <c r="N323" s="436"/>
      <c r="O323" s="436"/>
      <c r="P323" s="436"/>
      <c r="Q323" s="436"/>
      <c r="X323" s="294"/>
      <c r="Y323" s="294"/>
      <c r="Z323" s="294"/>
    </row>
    <row r="324" spans="2:26" s="561" customFormat="1" ht="12.75" x14ac:dyDescent="0.2">
      <c r="B324" s="452"/>
      <c r="C324" s="453"/>
      <c r="D324" s="453"/>
      <c r="E324" s="453"/>
      <c r="F324" s="453"/>
      <c r="G324" s="453"/>
      <c r="H324" s="426" t="s">
        <v>280</v>
      </c>
      <c r="I324" s="412" t="s">
        <v>442</v>
      </c>
      <c r="J324" s="412" t="s">
        <v>443</v>
      </c>
      <c r="K324" s="413" t="s">
        <v>443</v>
      </c>
      <c r="L324" s="551"/>
      <c r="M324" s="436"/>
      <c r="N324" s="436"/>
      <c r="O324" s="436"/>
      <c r="P324" s="436"/>
      <c r="Q324" s="436"/>
      <c r="X324" s="322"/>
      <c r="Y324" s="322"/>
      <c r="Z324" s="322"/>
    </row>
    <row r="325" spans="2:26" s="561" customFormat="1" ht="12.75" x14ac:dyDescent="0.2">
      <c r="B325" s="455"/>
      <c r="C325" s="456"/>
      <c r="D325" s="307"/>
      <c r="E325" s="307"/>
      <c r="F325" s="307"/>
      <c r="G325" s="307"/>
      <c r="H325" s="338" t="s">
        <v>444</v>
      </c>
      <c r="I325" s="258" t="s">
        <v>448</v>
      </c>
      <c r="J325" s="258" t="s">
        <v>445</v>
      </c>
      <c r="K325" s="259" t="s">
        <v>315</v>
      </c>
      <c r="L325" s="551"/>
      <c r="M325" s="436"/>
      <c r="N325" s="436"/>
      <c r="O325" s="436"/>
      <c r="P325" s="436"/>
      <c r="Q325" s="436"/>
      <c r="R325" s="562"/>
      <c r="S325" s="562"/>
      <c r="X325" s="322"/>
      <c r="Y325" s="322"/>
      <c r="Z325" s="322"/>
    </row>
    <row r="326" spans="2:26" s="561" customFormat="1" ht="12.75" x14ac:dyDescent="0.2">
      <c r="B326" s="522"/>
      <c r="C326" s="563" t="s">
        <v>519</v>
      </c>
      <c r="D326" s="513"/>
      <c r="E326" s="560"/>
      <c r="F326" s="560"/>
      <c r="G326" s="560"/>
      <c r="H326" s="564"/>
      <c r="I326" s="476">
        <v>3</v>
      </c>
      <c r="J326" s="477">
        <f>I326*H326</f>
        <v>0</v>
      </c>
      <c r="K326" s="478">
        <f>J326/15</f>
        <v>0</v>
      </c>
      <c r="L326" s="551"/>
      <c r="M326" s="436"/>
      <c r="N326" s="436"/>
      <c r="O326" s="436"/>
      <c r="P326" s="436"/>
      <c r="Q326" s="436"/>
      <c r="R326" s="562"/>
      <c r="S326" s="562"/>
      <c r="X326" s="322"/>
      <c r="Y326" s="322"/>
      <c r="Z326" s="322"/>
    </row>
    <row r="327" spans="2:26" s="561" customFormat="1" x14ac:dyDescent="0.2">
      <c r="B327" s="507"/>
      <c r="C327" s="529" t="s">
        <v>520</v>
      </c>
      <c r="D327" s="466"/>
      <c r="E327" s="467"/>
      <c r="F327" s="467"/>
      <c r="G327" s="467"/>
      <c r="H327" s="564"/>
      <c r="I327" s="476">
        <v>3</v>
      </c>
      <c r="J327" s="477">
        <f>I327*H327</f>
        <v>0</v>
      </c>
      <c r="K327" s="478">
        <f>J327/15</f>
        <v>0</v>
      </c>
      <c r="L327" s="232"/>
      <c r="M327" s="444"/>
      <c r="N327" s="444"/>
      <c r="O327" s="444"/>
      <c r="P327" s="444"/>
      <c r="Q327" s="444"/>
      <c r="R327" s="562"/>
      <c r="S327" s="562"/>
      <c r="U327" s="322"/>
    </row>
    <row r="328" spans="2:26" s="561" customFormat="1" ht="15" x14ac:dyDescent="0.2">
      <c r="B328" s="340"/>
      <c r="C328" s="391"/>
      <c r="D328" s="533"/>
      <c r="E328" s="533"/>
      <c r="F328" s="533"/>
      <c r="G328" s="533"/>
      <c r="H328" s="344"/>
      <c r="I328" s="423" t="s">
        <v>283</v>
      </c>
      <c r="J328" s="483">
        <f>SUM(J326:J327)</f>
        <v>0</v>
      </c>
      <c r="K328" s="484">
        <f>SUM(K326:K327)</f>
        <v>0</v>
      </c>
      <c r="L328" s="395"/>
      <c r="M328" s="449"/>
      <c r="N328" s="449"/>
      <c r="O328" s="449"/>
      <c r="P328" s="449"/>
      <c r="Q328" s="449"/>
      <c r="R328" s="562"/>
      <c r="S328" s="562"/>
      <c r="U328" s="322"/>
    </row>
    <row r="329" spans="2:26" s="561" customFormat="1" ht="15" x14ac:dyDescent="0.2">
      <c r="B329" s="395"/>
      <c r="C329" s="395"/>
      <c r="D329" s="534"/>
      <c r="E329" s="534"/>
      <c r="F329" s="534"/>
      <c r="G329" s="534"/>
      <c r="H329" s="205"/>
      <c r="I329" s="441"/>
      <c r="J329" s="401"/>
      <c r="K329" s="401"/>
      <c r="L329" s="532"/>
      <c r="M329" s="494"/>
      <c r="N329" s="494"/>
      <c r="O329" s="494"/>
      <c r="P329" s="494"/>
      <c r="Q329" s="494"/>
      <c r="R329" s="562"/>
      <c r="S329" s="562"/>
      <c r="U329" s="322"/>
    </row>
    <row r="330" spans="2:26" s="561" customFormat="1" x14ac:dyDescent="0.2">
      <c r="B330" s="197"/>
      <c r="C330" s="197"/>
      <c r="D330" s="520"/>
      <c r="E330" s="199"/>
      <c r="F330" s="197"/>
      <c r="G330" s="199"/>
      <c r="H330" s="199"/>
      <c r="I330" s="199"/>
      <c r="J330" s="197"/>
      <c r="K330" s="197"/>
      <c r="L330" s="197"/>
      <c r="M330" s="187"/>
      <c r="N330" s="187"/>
      <c r="O330" s="187"/>
      <c r="P330" s="187"/>
      <c r="Q330" s="187"/>
      <c r="R330" s="562"/>
      <c r="S330" s="562"/>
      <c r="U330" s="322"/>
    </row>
    <row r="331" spans="2:26" s="561" customFormat="1" ht="18" x14ac:dyDescent="0.25">
      <c r="B331" s="496">
        <v>7</v>
      </c>
      <c r="C331" s="497" t="s">
        <v>333</v>
      </c>
      <c r="D331" s="498"/>
      <c r="E331" s="498"/>
      <c r="F331" s="498"/>
      <c r="G331" s="498"/>
      <c r="H331" s="498"/>
      <c r="I331" s="498"/>
      <c r="J331" s="498"/>
      <c r="K331" s="499"/>
      <c r="L331" s="565"/>
      <c r="M331" s="293"/>
      <c r="N331" s="293"/>
      <c r="O331" s="293"/>
      <c r="P331" s="293"/>
      <c r="Q331" s="293"/>
      <c r="R331" s="562"/>
      <c r="S331" s="562"/>
      <c r="U331" s="322"/>
    </row>
    <row r="332" spans="2:26" s="561" customFormat="1" ht="15" x14ac:dyDescent="0.2">
      <c r="B332" s="566">
        <v>7.1</v>
      </c>
      <c r="C332" s="567" t="s">
        <v>521</v>
      </c>
      <c r="D332" s="568"/>
      <c r="E332" s="568"/>
      <c r="F332" s="568"/>
      <c r="G332" s="568"/>
      <c r="H332" s="569"/>
      <c r="I332" s="569"/>
      <c r="J332" s="570"/>
      <c r="K332" s="571"/>
      <c r="Q332" s="562"/>
      <c r="R332" s="562"/>
      <c r="S332" s="562"/>
      <c r="U332" s="322"/>
    </row>
    <row r="333" spans="2:26" x14ac:dyDescent="0.2">
      <c r="B333" s="572"/>
      <c r="C333" s="573"/>
      <c r="D333" s="574"/>
      <c r="E333" s="574"/>
      <c r="F333" s="574"/>
      <c r="G333" s="240" t="s">
        <v>522</v>
      </c>
      <c r="H333" s="575" t="s">
        <v>523</v>
      </c>
      <c r="I333" s="576" t="s">
        <v>442</v>
      </c>
      <c r="J333" s="243" t="s">
        <v>443</v>
      </c>
      <c r="K333" s="364" t="s">
        <v>443</v>
      </c>
      <c r="L333" s="561"/>
      <c r="M333" s="561"/>
      <c r="N333" s="561"/>
      <c r="O333" s="561"/>
      <c r="P333" s="561"/>
      <c r="Q333" s="562"/>
      <c r="S333" s="188"/>
      <c r="T333" s="188"/>
      <c r="U333" s="188"/>
      <c r="X333" s="187"/>
      <c r="Y333" s="187"/>
      <c r="Z333" s="187"/>
    </row>
    <row r="334" spans="2:26" s="190" customFormat="1" x14ac:dyDescent="0.2">
      <c r="B334" s="577"/>
      <c r="C334" s="2902" t="s">
        <v>524</v>
      </c>
      <c r="D334" s="2902"/>
      <c r="E334" s="2902"/>
      <c r="F334" s="2903"/>
      <c r="G334" s="248" t="s">
        <v>525</v>
      </c>
      <c r="H334" s="578" t="s">
        <v>526</v>
      </c>
      <c r="I334" s="251" t="s">
        <v>448</v>
      </c>
      <c r="J334" s="251" t="s">
        <v>445</v>
      </c>
      <c r="K334" s="244" t="s">
        <v>315</v>
      </c>
      <c r="L334" s="561"/>
      <c r="M334" s="561"/>
      <c r="N334" s="562"/>
      <c r="O334" s="562"/>
      <c r="P334" s="562"/>
      <c r="Q334" s="562"/>
      <c r="U334" s="189"/>
      <c r="V334" s="189"/>
      <c r="W334" s="189"/>
    </row>
    <row r="335" spans="2:26" s="293" customFormat="1" ht="12.75" x14ac:dyDescent="0.2">
      <c r="B335" s="579"/>
      <c r="C335" s="580"/>
      <c r="D335" s="456"/>
      <c r="E335" s="456"/>
      <c r="F335" s="456"/>
      <c r="G335" s="679" t="s">
        <v>698</v>
      </c>
      <c r="H335" s="581" t="s">
        <v>527</v>
      </c>
      <c r="I335" s="582"/>
      <c r="J335" s="582"/>
      <c r="K335" s="583"/>
      <c r="L335" s="561"/>
      <c r="M335" s="561"/>
      <c r="N335" s="562"/>
      <c r="O335" s="562"/>
      <c r="P335" s="562"/>
      <c r="Q335" s="562"/>
      <c r="X335" s="294"/>
      <c r="Y335" s="294"/>
      <c r="Z335" s="294"/>
    </row>
    <row r="336" spans="2:26" s="561" customFormat="1" ht="12.75" x14ac:dyDescent="0.2">
      <c r="B336" s="370" t="s">
        <v>450</v>
      </c>
      <c r="C336" s="2927" t="s">
        <v>528</v>
      </c>
      <c r="D336" s="2928"/>
      <c r="E336" s="2928"/>
      <c r="F336" s="2929"/>
      <c r="G336" s="1503">
        <v>241268</v>
      </c>
      <c r="H336" s="667" t="str">
        <f>IF(C336="","",IF(N336="","",IF(P336=1,"คิดภาระงานได้","คิดภาระงานไม่ได้")))</f>
        <v>คิดภาระงานไม่ได้</v>
      </c>
      <c r="I336" s="668">
        <f>IF(C336="",0,IF(H336="",0,IF(N336=0,"",IF(P336=1,120,0))))</f>
        <v>0</v>
      </c>
      <c r="J336" s="669">
        <f>IF(OR(C336="",H336=""),0,IF(I336&gt;0,I336,0))</f>
        <v>0</v>
      </c>
      <c r="K336" s="670">
        <f t="shared" ref="K336:K341" si="44">J336/15</f>
        <v>0</v>
      </c>
      <c r="N336" s="1047">
        <f>IF(G336=0/1/1900,"",G336)</f>
        <v>241268</v>
      </c>
      <c r="O336" s="1048">
        <f>IF(C336="","",IF(N336&lt;&gt;"",DATE(YEAR(N336)+3,MONTH(N336),DAY(N336)),""))</f>
        <v>242363</v>
      </c>
      <c r="P336" s="586">
        <f>IF(O336="","",IF(OR($O$6&lt;=O336,AND(O336&gt;=$N$6,O336&lt;=$O$6)),1,0))</f>
        <v>0</v>
      </c>
      <c r="Q336" s="586"/>
      <c r="X336" s="322"/>
      <c r="Y336" s="322"/>
      <c r="Z336" s="322"/>
    </row>
    <row r="337" spans="2:26" s="561" customFormat="1" ht="12.75" x14ac:dyDescent="0.2">
      <c r="B337" s="671" t="s">
        <v>529</v>
      </c>
      <c r="C337" s="2926"/>
      <c r="D337" s="2920"/>
      <c r="E337" s="2920"/>
      <c r="F337" s="2921"/>
      <c r="G337" s="1500"/>
      <c r="H337" s="672" t="str">
        <f>IF(C337="","",IF(N337="","",IF(P337=1,"คิดภาระงานได้","คิดภาระงานไม่ได้")))</f>
        <v/>
      </c>
      <c r="I337" s="673">
        <f>IF(C337="",0,IF(H337="",0,IF(N337=0,"",IF(P337=1,120,0))))</f>
        <v>0</v>
      </c>
      <c r="J337" s="674">
        <f>IF(OR(G337="",H337=""),0,IF(P337&gt;3,0,I337))</f>
        <v>0</v>
      </c>
      <c r="K337" s="675">
        <f t="shared" si="44"/>
        <v>0</v>
      </c>
      <c r="N337" s="1047" t="str">
        <f t="shared" ref="N337:N341" si="45">IF(G337=0/1/1900,"",G337)</f>
        <v/>
      </c>
      <c r="O337" s="1048" t="str">
        <f t="shared" ref="O337:O341" si="46">IF(C337="","",IF(N337&lt;&gt;"",DATE(YEAR(N337)+3,MONTH(N337),DAY(N337)),""))</f>
        <v/>
      </c>
      <c r="P337" s="586" t="str">
        <f>IF(O337="","",IF(OR($O$6&lt;=O337,AND(O337&gt;=$N$6,O337&lt;=$O$6)),1,0))</f>
        <v/>
      </c>
      <c r="Q337" s="586"/>
      <c r="X337" s="322"/>
      <c r="Y337" s="322"/>
      <c r="Z337" s="322"/>
    </row>
    <row r="338" spans="2:26" s="561" customFormat="1" ht="12.75" x14ac:dyDescent="0.2">
      <c r="B338" s="671" t="s">
        <v>530</v>
      </c>
      <c r="C338" s="2926"/>
      <c r="D338" s="2920"/>
      <c r="E338" s="2920"/>
      <c r="F338" s="2921"/>
      <c r="G338" s="1500"/>
      <c r="H338" s="672" t="str">
        <f t="shared" ref="H338:H341" si="47">IF(C338="","",IF(N338="","",IF(P338=1,"คิดภาระงานได้","คิดภาระงานไม่ได้")))</f>
        <v/>
      </c>
      <c r="I338" s="673">
        <f t="shared" ref="I338:I341" si="48">IF(C338="",0,IF(H338="",0,IF(N338=0,"",IF(P338=1,120,0))))</f>
        <v>0</v>
      </c>
      <c r="J338" s="674">
        <f>IF(OR(G338="",H338=""),0,IF(P338&gt;3,0,I338))</f>
        <v>0</v>
      </c>
      <c r="K338" s="675">
        <f t="shared" si="44"/>
        <v>0</v>
      </c>
      <c r="N338" s="1047" t="str">
        <f t="shared" si="45"/>
        <v/>
      </c>
      <c r="O338" s="1048" t="str">
        <f t="shared" si="46"/>
        <v/>
      </c>
      <c r="P338" s="586" t="str">
        <f t="shared" ref="P338:P341" si="49">IF(O338="","",IF(OR($O$6&lt;=O338,AND(O338&gt;=$N$6,O338&lt;=$O$6)),1,0))</f>
        <v/>
      </c>
      <c r="Q338" s="586"/>
      <c r="X338" s="322"/>
      <c r="Y338" s="322"/>
      <c r="Z338" s="322"/>
    </row>
    <row r="339" spans="2:26" s="561" customFormat="1" ht="12.75" x14ac:dyDescent="0.2">
      <c r="B339" s="671" t="s">
        <v>531</v>
      </c>
      <c r="C339" s="2919"/>
      <c r="D339" s="2920"/>
      <c r="E339" s="2920"/>
      <c r="F339" s="2921"/>
      <c r="G339" s="1500"/>
      <c r="H339" s="672" t="str">
        <f t="shared" si="47"/>
        <v/>
      </c>
      <c r="I339" s="673">
        <f t="shared" si="48"/>
        <v>0</v>
      </c>
      <c r="J339" s="674">
        <f t="shared" ref="J339:J341" si="50">IF(OR(G339="",H339=""),0,IF(P339&gt;3,0,I339))</f>
        <v>0</v>
      </c>
      <c r="K339" s="675">
        <f t="shared" si="44"/>
        <v>0</v>
      </c>
      <c r="N339" s="1047" t="str">
        <f t="shared" si="45"/>
        <v/>
      </c>
      <c r="O339" s="1048" t="str">
        <f t="shared" si="46"/>
        <v/>
      </c>
      <c r="P339" s="586" t="str">
        <f t="shared" si="49"/>
        <v/>
      </c>
      <c r="Q339" s="586"/>
      <c r="X339" s="322"/>
      <c r="Y339" s="322"/>
      <c r="Z339" s="322"/>
    </row>
    <row r="340" spans="2:26" s="561" customFormat="1" x14ac:dyDescent="0.2">
      <c r="B340" s="671" t="s">
        <v>532</v>
      </c>
      <c r="C340" s="2919"/>
      <c r="D340" s="2920"/>
      <c r="E340" s="2920"/>
      <c r="F340" s="2921"/>
      <c r="G340" s="1500"/>
      <c r="H340" s="672" t="str">
        <f t="shared" si="47"/>
        <v/>
      </c>
      <c r="I340" s="673">
        <f t="shared" si="48"/>
        <v>0</v>
      </c>
      <c r="J340" s="674">
        <f t="shared" si="50"/>
        <v>0</v>
      </c>
      <c r="K340" s="675">
        <f t="shared" si="44"/>
        <v>0</v>
      </c>
      <c r="L340" s="187"/>
      <c r="N340" s="1047" t="str">
        <f t="shared" si="45"/>
        <v/>
      </c>
      <c r="O340" s="1048" t="str">
        <f t="shared" si="46"/>
        <v/>
      </c>
      <c r="P340" s="586" t="str">
        <f t="shared" si="49"/>
        <v/>
      </c>
      <c r="Q340" s="586"/>
      <c r="X340" s="322"/>
      <c r="Y340" s="322"/>
      <c r="Z340" s="322"/>
    </row>
    <row r="341" spans="2:26" s="561" customFormat="1" x14ac:dyDescent="0.2">
      <c r="B341" s="671" t="s">
        <v>533</v>
      </c>
      <c r="C341" s="2919"/>
      <c r="D341" s="2920"/>
      <c r="E341" s="2920"/>
      <c r="F341" s="2921"/>
      <c r="G341" s="1500"/>
      <c r="H341" s="672" t="str">
        <f t="shared" si="47"/>
        <v/>
      </c>
      <c r="I341" s="673">
        <f t="shared" si="48"/>
        <v>0</v>
      </c>
      <c r="J341" s="674">
        <f t="shared" si="50"/>
        <v>0</v>
      </c>
      <c r="K341" s="675">
        <f t="shared" si="44"/>
        <v>0</v>
      </c>
      <c r="L341" s="190"/>
      <c r="N341" s="1047" t="str">
        <f t="shared" si="45"/>
        <v/>
      </c>
      <c r="O341" s="1048" t="str">
        <f t="shared" si="46"/>
        <v/>
      </c>
      <c r="P341" s="586" t="str">
        <f t="shared" si="49"/>
        <v/>
      </c>
      <c r="Q341" s="586"/>
      <c r="X341" s="322"/>
      <c r="Y341" s="322"/>
      <c r="Z341" s="322"/>
    </row>
    <row r="342" spans="2:26" s="561" customFormat="1" ht="15" x14ac:dyDescent="0.2">
      <c r="B342" s="340"/>
      <c r="C342" s="391"/>
      <c r="D342" s="588"/>
      <c r="E342" s="588"/>
      <c r="F342" s="588"/>
      <c r="G342" s="588"/>
      <c r="H342" s="588"/>
      <c r="I342" s="423" t="s">
        <v>283</v>
      </c>
      <c r="J342" s="483">
        <f>SUM(J337:J341)</f>
        <v>0</v>
      </c>
      <c r="K342" s="484">
        <f>SUM(K337:K341)</f>
        <v>0</v>
      </c>
      <c r="L342" s="293"/>
      <c r="M342" s="187"/>
      <c r="O342" s="187"/>
      <c r="P342" s="666">
        <f>SUM(P337:P341)</f>
        <v>0</v>
      </c>
      <c r="Q342" s="188"/>
      <c r="X342" s="322"/>
      <c r="Y342" s="322"/>
      <c r="Z342" s="322"/>
    </row>
    <row r="343" spans="2:26" s="561" customFormat="1" ht="9.75" customHeight="1" x14ac:dyDescent="0.2">
      <c r="B343" s="543"/>
      <c r="C343" s="589"/>
      <c r="D343" s="590"/>
      <c r="E343" s="590"/>
      <c r="F343" s="590"/>
      <c r="G343" s="590"/>
      <c r="H343" s="546"/>
      <c r="I343" s="591"/>
      <c r="J343" s="592"/>
      <c r="K343" s="593"/>
      <c r="M343" s="190"/>
      <c r="N343" s="190"/>
      <c r="O343" s="190"/>
      <c r="P343" s="190"/>
      <c r="X343" s="322"/>
      <c r="Y343" s="322"/>
      <c r="Z343" s="322"/>
    </row>
    <row r="344" spans="2:26" s="561" customFormat="1" ht="42.75" customHeight="1" x14ac:dyDescent="0.2">
      <c r="B344" s="594">
        <v>7.2</v>
      </c>
      <c r="C344" s="2922" t="s">
        <v>1008</v>
      </c>
      <c r="D344" s="2922"/>
      <c r="E344" s="2922"/>
      <c r="F344" s="2922"/>
      <c r="G344" s="2922"/>
      <c r="H344" s="2922"/>
      <c r="I344" s="2922"/>
      <c r="J344" s="2922"/>
      <c r="K344" s="2923"/>
      <c r="M344" s="293"/>
      <c r="N344" s="293"/>
      <c r="O344" s="293"/>
      <c r="P344" s="293"/>
      <c r="X344" s="322"/>
      <c r="Y344" s="322"/>
      <c r="Z344" s="322"/>
    </row>
    <row r="345" spans="2:26" ht="14.25" customHeight="1" x14ac:dyDescent="0.2">
      <c r="B345" s="238"/>
      <c r="C345" s="595"/>
      <c r="D345" s="574"/>
      <c r="E345" s="574"/>
      <c r="F345" s="574"/>
      <c r="G345" s="240" t="s">
        <v>534</v>
      </c>
      <c r="H345" s="241" t="s">
        <v>535</v>
      </c>
      <c r="I345" s="576" t="s">
        <v>442</v>
      </c>
      <c r="J345" s="243" t="s">
        <v>443</v>
      </c>
      <c r="K345" s="364" t="s">
        <v>443</v>
      </c>
      <c r="L345" s="561"/>
      <c r="M345" s="561"/>
      <c r="N345" s="561"/>
      <c r="O345" s="561"/>
      <c r="P345" s="561"/>
      <c r="Q345" s="561"/>
    </row>
    <row r="346" spans="2:26" s="190" customFormat="1" ht="14.25" customHeight="1" x14ac:dyDescent="0.2">
      <c r="B346" s="246"/>
      <c r="C346" s="2901" t="s">
        <v>536</v>
      </c>
      <c r="D346" s="2902"/>
      <c r="E346" s="2902"/>
      <c r="F346" s="2903"/>
      <c r="G346" s="248" t="s">
        <v>537</v>
      </c>
      <c r="H346" s="596" t="s">
        <v>538</v>
      </c>
      <c r="I346" s="251" t="s">
        <v>448</v>
      </c>
      <c r="J346" s="251" t="s">
        <v>445</v>
      </c>
      <c r="K346" s="244" t="s">
        <v>315</v>
      </c>
      <c r="L346" s="561"/>
      <c r="M346" s="561"/>
      <c r="N346" s="561"/>
      <c r="O346" s="561"/>
      <c r="P346" s="561"/>
      <c r="Q346" s="561"/>
      <c r="X346" s="189"/>
      <c r="Y346" s="189"/>
      <c r="Z346" s="189"/>
    </row>
    <row r="347" spans="2:26" s="293" customFormat="1" ht="12.75" x14ac:dyDescent="0.2">
      <c r="B347" s="597"/>
      <c r="C347" s="598"/>
      <c r="D347" s="456"/>
      <c r="E347" s="456"/>
      <c r="F347" s="456"/>
      <c r="G347" s="599" t="s">
        <v>539</v>
      </c>
      <c r="H347" s="600" t="s">
        <v>540</v>
      </c>
      <c r="I347" s="582"/>
      <c r="J347" s="582"/>
      <c r="K347" s="583"/>
      <c r="L347" s="561"/>
      <c r="M347" s="561"/>
      <c r="N347" s="561"/>
      <c r="O347" s="561"/>
      <c r="P347" s="561"/>
      <c r="Q347" s="561"/>
      <c r="X347" s="294"/>
      <c r="Y347" s="294"/>
      <c r="Z347" s="294"/>
    </row>
    <row r="348" spans="2:26" s="561" customFormat="1" ht="12.75" x14ac:dyDescent="0.2">
      <c r="B348" s="584" t="s">
        <v>450</v>
      </c>
      <c r="C348" s="372" t="s">
        <v>541</v>
      </c>
      <c r="D348" s="373"/>
      <c r="E348" s="373"/>
      <c r="F348" s="373"/>
      <c r="G348" s="601"/>
      <c r="H348" s="371" t="s">
        <v>170</v>
      </c>
      <c r="I348" s="602">
        <f t="shared" ref="I348" si="51">IF(H348="",0,IF(H348="ผ่าน",45,IF(H348="ไม่ผ่าน",22.5,45)))</f>
        <v>45</v>
      </c>
      <c r="J348" s="585">
        <f t="shared" ref="J348:J353" si="52">IF(I348&lt;&gt;0,I348,0)</f>
        <v>45</v>
      </c>
      <c r="K348" s="603">
        <f t="shared" ref="K348:K353" si="53">J348/15</f>
        <v>3</v>
      </c>
      <c r="X348" s="322"/>
      <c r="Y348" s="322"/>
      <c r="Z348" s="322"/>
    </row>
    <row r="349" spans="2:26" s="561" customFormat="1" ht="12.75" x14ac:dyDescent="0.2">
      <c r="B349" s="269" t="s">
        <v>529</v>
      </c>
      <c r="C349" s="2904"/>
      <c r="D349" s="2893"/>
      <c r="E349" s="2893"/>
      <c r="F349" s="2889"/>
      <c r="G349" s="279"/>
      <c r="H349" s="604"/>
      <c r="I349" s="511">
        <f>IF(OR(H349="",G349=""),0,IF(H349="ผ่าน",45*(G349/100),IF(H349="ไม่ผ่าน",22.5*(G349/100),45*(G349/100))))</f>
        <v>0</v>
      </c>
      <c r="J349" s="587">
        <f>IF(I349&lt;&gt;0,I349,0)</f>
        <v>0</v>
      </c>
      <c r="K349" s="464">
        <f t="shared" si="53"/>
        <v>0</v>
      </c>
      <c r="L349" s="551"/>
      <c r="X349" s="322"/>
      <c r="Y349" s="322"/>
      <c r="Z349" s="322"/>
    </row>
    <row r="350" spans="2:26" s="561" customFormat="1" ht="12.75" x14ac:dyDescent="0.2">
      <c r="B350" s="278" t="s">
        <v>530</v>
      </c>
      <c r="C350" s="2888"/>
      <c r="D350" s="2893"/>
      <c r="E350" s="2893"/>
      <c r="F350" s="2889"/>
      <c r="G350" s="279"/>
      <c r="H350" s="604"/>
      <c r="I350" s="511">
        <f>IF(OR(H350="",G350=""),0,IF(H350="ผ่าน",45*(G350/100),IF(H350="ไม่ผ่าน",22.5*(G350/100),45*(G350/100))))</f>
        <v>0</v>
      </c>
      <c r="J350" s="587">
        <f>IF(I350&lt;&gt;0,I350,0)</f>
        <v>0</v>
      </c>
      <c r="K350" s="312">
        <f t="shared" si="53"/>
        <v>0</v>
      </c>
      <c r="L350" s="551"/>
      <c r="X350" s="322"/>
      <c r="Y350" s="322"/>
      <c r="Z350" s="322"/>
    </row>
    <row r="351" spans="2:26" s="561" customFormat="1" ht="12.75" x14ac:dyDescent="0.2">
      <c r="B351" s="278" t="s">
        <v>531</v>
      </c>
      <c r="C351" s="2888"/>
      <c r="D351" s="2893"/>
      <c r="E351" s="2893"/>
      <c r="F351" s="2889"/>
      <c r="G351" s="279"/>
      <c r="H351" s="604"/>
      <c r="I351" s="511">
        <f t="shared" ref="I351:I353" si="54">IF(OR(H351="",G351=""),0,IF(H351="ผ่าน",45*(G351/100),IF(H351="ไม่ผ่าน",22.5*(G351/100),45*(G351/100))))</f>
        <v>0</v>
      </c>
      <c r="J351" s="587">
        <f>IF(I351&lt;&gt;0,I351,0)</f>
        <v>0</v>
      </c>
      <c r="K351" s="312">
        <f t="shared" si="53"/>
        <v>0</v>
      </c>
      <c r="L351" s="551"/>
      <c r="X351" s="322"/>
      <c r="Y351" s="322"/>
      <c r="Z351" s="322"/>
    </row>
    <row r="352" spans="2:26" s="561" customFormat="1" x14ac:dyDescent="0.2">
      <c r="B352" s="278" t="s">
        <v>532</v>
      </c>
      <c r="C352" s="2888"/>
      <c r="D352" s="2893"/>
      <c r="E352" s="2893"/>
      <c r="F352" s="2889"/>
      <c r="G352" s="279"/>
      <c r="H352" s="604"/>
      <c r="I352" s="511">
        <f t="shared" si="54"/>
        <v>0</v>
      </c>
      <c r="J352" s="587">
        <f t="shared" si="52"/>
        <v>0</v>
      </c>
      <c r="K352" s="312">
        <f t="shared" si="53"/>
        <v>0</v>
      </c>
      <c r="L352" s="197"/>
      <c r="Q352" s="187"/>
      <c r="X352" s="322"/>
      <c r="Y352" s="322"/>
      <c r="Z352" s="322"/>
    </row>
    <row r="353" spans="2:26" s="561" customFormat="1" x14ac:dyDescent="0.2">
      <c r="B353" s="278" t="s">
        <v>533</v>
      </c>
      <c r="C353" s="2888"/>
      <c r="D353" s="2893"/>
      <c r="E353" s="2893"/>
      <c r="F353" s="2889"/>
      <c r="G353" s="279"/>
      <c r="H353" s="604"/>
      <c r="I353" s="511">
        <f t="shared" si="54"/>
        <v>0</v>
      </c>
      <c r="J353" s="587">
        <f t="shared" si="52"/>
        <v>0</v>
      </c>
      <c r="K353" s="312">
        <f t="shared" si="53"/>
        <v>0</v>
      </c>
      <c r="L353" s="200"/>
      <c r="Q353" s="190"/>
      <c r="X353" s="322"/>
      <c r="Y353" s="322"/>
      <c r="Z353" s="322"/>
    </row>
    <row r="354" spans="2:26" s="561" customFormat="1" ht="15" x14ac:dyDescent="0.2">
      <c r="B354" s="605"/>
      <c r="C354" s="391"/>
      <c r="D354" s="588"/>
      <c r="E354" s="588"/>
      <c r="F354" s="588"/>
      <c r="G354" s="588"/>
      <c r="H354" s="588"/>
      <c r="I354" s="423" t="s">
        <v>283</v>
      </c>
      <c r="J354" s="483">
        <f>SUM(J349:J353)</f>
        <v>0</v>
      </c>
      <c r="K354" s="484">
        <f>SUM(K349:K353)</f>
        <v>0</v>
      </c>
      <c r="L354" s="565"/>
      <c r="M354" s="187"/>
      <c r="N354" s="187"/>
      <c r="O354" s="187"/>
      <c r="P354" s="187"/>
      <c r="Q354" s="293"/>
      <c r="X354" s="322"/>
      <c r="Y354" s="322"/>
      <c r="Z354" s="322"/>
    </row>
    <row r="355" spans="2:26" ht="9.75" customHeight="1" x14ac:dyDescent="0.2">
      <c r="B355" s="543"/>
      <c r="C355" s="589"/>
      <c r="D355" s="590"/>
      <c r="E355" s="590"/>
      <c r="F355" s="590"/>
      <c r="G355" s="590"/>
      <c r="H355" s="546"/>
      <c r="I355" s="606"/>
      <c r="J355" s="607"/>
      <c r="K355" s="608"/>
      <c r="L355" s="551"/>
      <c r="M355" s="190"/>
      <c r="N355" s="190"/>
      <c r="O355" s="190"/>
      <c r="P355" s="190"/>
      <c r="Q355" s="561"/>
    </row>
    <row r="356" spans="2:26" s="190" customFormat="1" ht="15" x14ac:dyDescent="0.2">
      <c r="B356" s="566">
        <v>7.3</v>
      </c>
      <c r="C356" s="567" t="s">
        <v>542</v>
      </c>
      <c r="D356" s="568"/>
      <c r="E356" s="568"/>
      <c r="F356" s="568"/>
      <c r="G356" s="568"/>
      <c r="H356" s="569"/>
      <c r="I356" s="569"/>
      <c r="J356" s="570"/>
      <c r="K356" s="571"/>
      <c r="L356" s="551"/>
      <c r="M356" s="293"/>
      <c r="N356" s="293"/>
      <c r="O356" s="293"/>
      <c r="P356" s="293"/>
      <c r="Q356" s="561"/>
      <c r="X356" s="189"/>
      <c r="Y356" s="189"/>
      <c r="Z356" s="189"/>
    </row>
    <row r="357" spans="2:26" s="293" customFormat="1" ht="12.75" x14ac:dyDescent="0.2">
      <c r="B357" s="238"/>
      <c r="C357" s="2918" t="s">
        <v>536</v>
      </c>
      <c r="D357" s="2918"/>
      <c r="E357" s="2918"/>
      <c r="F357" s="2918"/>
      <c r="G357" s="2918"/>
      <c r="H357" s="239" t="s">
        <v>543</v>
      </c>
      <c r="I357" s="576" t="s">
        <v>442</v>
      </c>
      <c r="J357" s="243" t="s">
        <v>443</v>
      </c>
      <c r="K357" s="364" t="s">
        <v>443</v>
      </c>
      <c r="L357" s="551"/>
      <c r="M357" s="561"/>
      <c r="N357" s="561"/>
      <c r="O357" s="561"/>
      <c r="P357" s="561"/>
      <c r="Q357" s="561"/>
      <c r="X357" s="294"/>
      <c r="Y357" s="294"/>
      <c r="Z357" s="294"/>
    </row>
    <row r="358" spans="2:26" s="561" customFormat="1" ht="12.75" x14ac:dyDescent="0.2">
      <c r="B358" s="597"/>
      <c r="C358" s="598"/>
      <c r="D358" s="456"/>
      <c r="E358" s="456"/>
      <c r="F358" s="456"/>
      <c r="G358" s="456"/>
      <c r="H358" s="609"/>
      <c r="I358" s="258" t="s">
        <v>448</v>
      </c>
      <c r="J358" s="258" t="s">
        <v>445</v>
      </c>
      <c r="K358" s="259" t="s">
        <v>315</v>
      </c>
      <c r="L358" s="551"/>
      <c r="X358" s="322"/>
      <c r="Y358" s="322"/>
      <c r="Z358" s="322"/>
    </row>
    <row r="359" spans="2:26" s="561" customFormat="1" ht="12.75" x14ac:dyDescent="0.2">
      <c r="B359" s="278" t="s">
        <v>529</v>
      </c>
      <c r="C359" s="2904"/>
      <c r="D359" s="2893"/>
      <c r="E359" s="2893"/>
      <c r="F359" s="2893"/>
      <c r="G359" s="2893"/>
      <c r="H359" s="279"/>
      <c r="I359" s="379">
        <v>1</v>
      </c>
      <c r="J359" s="380">
        <f>IF(H359&gt;45,45,H359*I359)</f>
        <v>0</v>
      </c>
      <c r="K359" s="312">
        <f>J359/15</f>
        <v>0</v>
      </c>
      <c r="L359" s="551"/>
      <c r="X359" s="322"/>
      <c r="Y359" s="322"/>
      <c r="Z359" s="322"/>
    </row>
    <row r="360" spans="2:26" s="561" customFormat="1" ht="12.75" x14ac:dyDescent="0.2">
      <c r="B360" s="278" t="s">
        <v>530</v>
      </c>
      <c r="C360" s="2888"/>
      <c r="D360" s="2893"/>
      <c r="E360" s="2893"/>
      <c r="F360" s="2893"/>
      <c r="G360" s="2893"/>
      <c r="H360" s="279"/>
      <c r="I360" s="379">
        <v>1</v>
      </c>
      <c r="J360" s="380">
        <f>IF(H360&gt;45,45,H360*I360)</f>
        <v>0</v>
      </c>
      <c r="K360" s="312">
        <f>J360/15</f>
        <v>0</v>
      </c>
      <c r="L360" s="551"/>
      <c r="X360" s="322"/>
      <c r="Y360" s="322"/>
      <c r="Z360" s="322"/>
    </row>
    <row r="361" spans="2:26" s="561" customFormat="1" ht="12.75" x14ac:dyDescent="0.2">
      <c r="B361" s="278" t="s">
        <v>531</v>
      </c>
      <c r="C361" s="2888"/>
      <c r="D361" s="2893"/>
      <c r="E361" s="2893"/>
      <c r="F361" s="2893"/>
      <c r="G361" s="2893"/>
      <c r="H361" s="279"/>
      <c r="I361" s="379">
        <v>1</v>
      </c>
      <c r="J361" s="380">
        <f>IF(H361&gt;45,45,H361*I361)</f>
        <v>0</v>
      </c>
      <c r="K361" s="312">
        <f>J361/15</f>
        <v>0</v>
      </c>
      <c r="L361" s="551"/>
      <c r="X361" s="322"/>
      <c r="Y361" s="322"/>
      <c r="Z361" s="322"/>
    </row>
    <row r="362" spans="2:26" s="561" customFormat="1" x14ac:dyDescent="0.2">
      <c r="B362" s="278" t="s">
        <v>532</v>
      </c>
      <c r="C362" s="2888"/>
      <c r="D362" s="2893"/>
      <c r="E362" s="2893"/>
      <c r="F362" s="2893"/>
      <c r="G362" s="2893"/>
      <c r="H362" s="279"/>
      <c r="I362" s="379">
        <v>1</v>
      </c>
      <c r="J362" s="380">
        <f>IF(H362&gt;45,45,H362*I362)</f>
        <v>0</v>
      </c>
      <c r="K362" s="312">
        <f>J362/15</f>
        <v>0</v>
      </c>
      <c r="L362" s="197"/>
      <c r="Q362" s="187"/>
      <c r="X362" s="322"/>
      <c r="Y362" s="322"/>
      <c r="Z362" s="322"/>
    </row>
    <row r="363" spans="2:26" s="561" customFormat="1" x14ac:dyDescent="0.2">
      <c r="B363" s="278" t="s">
        <v>533</v>
      </c>
      <c r="C363" s="2888"/>
      <c r="D363" s="2893"/>
      <c r="E363" s="2893"/>
      <c r="F363" s="2893"/>
      <c r="G363" s="2893"/>
      <c r="H363" s="279"/>
      <c r="I363" s="379">
        <v>1</v>
      </c>
      <c r="J363" s="380">
        <f>IF(H363&gt;45,45,H363*I363)</f>
        <v>0</v>
      </c>
      <c r="K363" s="312">
        <f>J363/15</f>
        <v>0</v>
      </c>
      <c r="L363" s="200"/>
      <c r="Q363" s="190"/>
      <c r="X363" s="322"/>
      <c r="Y363" s="322"/>
      <c r="Z363" s="322"/>
    </row>
    <row r="364" spans="2:26" s="561" customFormat="1" ht="15" x14ac:dyDescent="0.2">
      <c r="B364" s="340"/>
      <c r="C364" s="391"/>
      <c r="D364" s="392"/>
      <c r="E364" s="392"/>
      <c r="F364" s="392"/>
      <c r="G364" s="392"/>
      <c r="H364" s="344"/>
      <c r="I364" s="423" t="s">
        <v>283</v>
      </c>
      <c r="J364" s="483">
        <f>SUM(J359:J363)</f>
        <v>0</v>
      </c>
      <c r="K364" s="484">
        <f>SUM(K359:K363)</f>
        <v>0</v>
      </c>
      <c r="L364" s="565"/>
      <c r="M364" s="187"/>
      <c r="N364" s="187"/>
      <c r="O364" s="187"/>
      <c r="P364" s="187"/>
      <c r="Q364" s="293"/>
      <c r="X364" s="322"/>
      <c r="Y364" s="322"/>
      <c r="Z364" s="322"/>
    </row>
    <row r="365" spans="2:26" s="561" customFormat="1" ht="9.75" customHeight="1" x14ac:dyDescent="0.2">
      <c r="B365" s="543"/>
      <c r="C365" s="589"/>
      <c r="D365" s="590"/>
      <c r="E365" s="590"/>
      <c r="F365" s="590"/>
      <c r="G365" s="590"/>
      <c r="H365" s="546"/>
      <c r="I365" s="606"/>
      <c r="J365" s="547"/>
      <c r="K365" s="548"/>
      <c r="L365" s="551"/>
      <c r="M365" s="190"/>
      <c r="N365" s="190"/>
      <c r="O365" s="190"/>
      <c r="P365" s="190"/>
      <c r="X365" s="322"/>
      <c r="Y365" s="322"/>
      <c r="Z365" s="322"/>
    </row>
    <row r="366" spans="2:26" s="561" customFormat="1" ht="15" x14ac:dyDescent="0.2">
      <c r="B366" s="566">
        <v>7.4</v>
      </c>
      <c r="C366" s="567" t="s">
        <v>544</v>
      </c>
      <c r="D366" s="568"/>
      <c r="E366" s="568"/>
      <c r="F366" s="568"/>
      <c r="G366" s="568"/>
      <c r="H366" s="569"/>
      <c r="I366" s="569"/>
      <c r="J366" s="570"/>
      <c r="K366" s="571"/>
      <c r="L366" s="551"/>
      <c r="M366" s="293"/>
      <c r="N366" s="293"/>
      <c r="O366" s="293"/>
      <c r="P366" s="293"/>
      <c r="X366" s="322"/>
      <c r="Y366" s="322"/>
      <c r="Z366" s="322"/>
    </row>
    <row r="367" spans="2:26" s="561" customFormat="1" ht="12.75" x14ac:dyDescent="0.2">
      <c r="B367" s="238"/>
      <c r="C367" s="595"/>
      <c r="D367" s="574"/>
      <c r="E367" s="574"/>
      <c r="F367" s="574"/>
      <c r="G367" s="574"/>
      <c r="H367" s="241" t="s">
        <v>534</v>
      </c>
      <c r="I367" s="576" t="s">
        <v>442</v>
      </c>
      <c r="J367" s="243" t="s">
        <v>443</v>
      </c>
      <c r="K367" s="364" t="s">
        <v>443</v>
      </c>
      <c r="L367" s="551"/>
      <c r="X367" s="322"/>
      <c r="Y367" s="322"/>
      <c r="Z367" s="322"/>
    </row>
    <row r="368" spans="2:26" s="561" customFormat="1" ht="12.75" x14ac:dyDescent="0.2">
      <c r="B368" s="246"/>
      <c r="C368" s="2901" t="s">
        <v>536</v>
      </c>
      <c r="D368" s="2902"/>
      <c r="E368" s="2902"/>
      <c r="F368" s="2902"/>
      <c r="G368" s="2903"/>
      <c r="H368" s="249" t="s">
        <v>545</v>
      </c>
      <c r="I368" s="251" t="s">
        <v>448</v>
      </c>
      <c r="J368" s="251" t="s">
        <v>445</v>
      </c>
      <c r="K368" s="244" t="s">
        <v>315</v>
      </c>
      <c r="L368" s="551"/>
      <c r="X368" s="322"/>
      <c r="Y368" s="322"/>
      <c r="Z368" s="322"/>
    </row>
    <row r="369" spans="2:26" s="494" customFormat="1" ht="21" customHeight="1" x14ac:dyDescent="0.2">
      <c r="B369" s="597"/>
      <c r="C369" s="598"/>
      <c r="D369" s="456"/>
      <c r="E369" s="456"/>
      <c r="F369" s="456"/>
      <c r="G369" s="456"/>
      <c r="H369" s="256" t="s">
        <v>546</v>
      </c>
      <c r="I369" s="582"/>
      <c r="J369" s="582"/>
      <c r="K369" s="583"/>
      <c r="L369" s="551"/>
      <c r="M369" s="561"/>
      <c r="N369" s="561"/>
      <c r="O369" s="561"/>
      <c r="P369" s="561"/>
      <c r="Q369" s="561"/>
      <c r="X369" s="495"/>
      <c r="Y369" s="495"/>
      <c r="Z369" s="495"/>
    </row>
    <row r="370" spans="2:26" s="611" customFormat="1" x14ac:dyDescent="0.2">
      <c r="B370" s="610" t="s">
        <v>547</v>
      </c>
      <c r="C370" s="2904"/>
      <c r="D370" s="2893"/>
      <c r="E370" s="2893"/>
      <c r="F370" s="2893"/>
      <c r="G370" s="2889"/>
      <c r="H370" s="279"/>
      <c r="I370" s="379">
        <f>IF(AND(H370&lt;&gt;"",H370&lt;&gt;"0"),45*(H370/100),45)</f>
        <v>45</v>
      </c>
      <c r="J370" s="380">
        <f>IF(C370&lt;&gt;"",I370,0)</f>
        <v>0</v>
      </c>
      <c r="K370" s="312">
        <f t="shared" ref="K370:K377" si="55">J370/15</f>
        <v>0</v>
      </c>
      <c r="L370" s="551"/>
      <c r="M370" s="561"/>
      <c r="N370" s="561"/>
      <c r="O370" s="561"/>
      <c r="P370" s="561"/>
      <c r="Q370" s="561"/>
      <c r="X370" s="536"/>
      <c r="Y370" s="536"/>
      <c r="Z370" s="536"/>
    </row>
    <row r="371" spans="2:26" s="268" customFormat="1" ht="12.75" x14ac:dyDescent="0.2">
      <c r="B371" s="610" t="s">
        <v>548</v>
      </c>
      <c r="C371" s="2888"/>
      <c r="D371" s="2893"/>
      <c r="E371" s="2893"/>
      <c r="F371" s="2893"/>
      <c r="G371" s="2889"/>
      <c r="H371" s="279"/>
      <c r="I371" s="379">
        <f t="shared" ref="I371:I377" si="56">IF(AND(H371&lt;&gt;"",H371&lt;&gt;"0"),45*(H371/100),45)</f>
        <v>45</v>
      </c>
      <c r="J371" s="380">
        <f>IF(C371&lt;&gt;"",I371,0)</f>
        <v>0</v>
      </c>
      <c r="K371" s="312">
        <f t="shared" si="55"/>
        <v>0</v>
      </c>
      <c r="L371" s="551"/>
      <c r="M371" s="561"/>
      <c r="N371" s="561"/>
      <c r="O371" s="561"/>
      <c r="P371" s="561"/>
      <c r="Q371" s="561"/>
      <c r="X371" s="322"/>
      <c r="Y371" s="322"/>
      <c r="Z371" s="322"/>
    </row>
    <row r="372" spans="2:26" s="612" customFormat="1" ht="12.75" x14ac:dyDescent="0.2">
      <c r="B372" s="610" t="s">
        <v>549</v>
      </c>
      <c r="C372" s="2888"/>
      <c r="D372" s="2893"/>
      <c r="E372" s="2893"/>
      <c r="F372" s="2893"/>
      <c r="G372" s="2889"/>
      <c r="H372" s="279"/>
      <c r="I372" s="379">
        <f t="shared" si="56"/>
        <v>45</v>
      </c>
      <c r="J372" s="380">
        <f t="shared" ref="J372:J377" si="57">IF(C372&lt;&gt;"",I372,0)</f>
        <v>0</v>
      </c>
      <c r="K372" s="312">
        <f t="shared" si="55"/>
        <v>0</v>
      </c>
      <c r="L372" s="551"/>
      <c r="M372" s="561"/>
      <c r="N372" s="561"/>
      <c r="O372" s="561"/>
      <c r="P372" s="561"/>
      <c r="Q372" s="561"/>
      <c r="X372" s="613"/>
      <c r="Y372" s="613"/>
      <c r="Z372" s="613"/>
    </row>
    <row r="373" spans="2:26" s="561" customFormat="1" ht="12.75" x14ac:dyDescent="0.2">
      <c r="B373" s="610" t="s">
        <v>550</v>
      </c>
      <c r="C373" s="2888"/>
      <c r="D373" s="2893"/>
      <c r="E373" s="2893"/>
      <c r="F373" s="2893"/>
      <c r="G373" s="2889"/>
      <c r="H373" s="279"/>
      <c r="I373" s="379">
        <f t="shared" si="56"/>
        <v>45</v>
      </c>
      <c r="J373" s="380">
        <f t="shared" si="57"/>
        <v>0</v>
      </c>
      <c r="K373" s="312">
        <f t="shared" si="55"/>
        <v>0</v>
      </c>
      <c r="L373" s="551"/>
      <c r="X373" s="322"/>
      <c r="Y373" s="322"/>
      <c r="Z373" s="322"/>
    </row>
    <row r="374" spans="2:26" s="561" customFormat="1" ht="12.75" x14ac:dyDescent="0.2">
      <c r="B374" s="610" t="s">
        <v>551</v>
      </c>
      <c r="C374" s="2888"/>
      <c r="D374" s="2893"/>
      <c r="E374" s="2893"/>
      <c r="F374" s="2893"/>
      <c r="G374" s="2889"/>
      <c r="H374" s="279"/>
      <c r="I374" s="379">
        <f t="shared" si="56"/>
        <v>45</v>
      </c>
      <c r="J374" s="380">
        <f t="shared" si="57"/>
        <v>0</v>
      </c>
      <c r="K374" s="312">
        <f t="shared" si="55"/>
        <v>0</v>
      </c>
      <c r="L374" s="551"/>
      <c r="X374" s="322"/>
      <c r="Y374" s="322"/>
      <c r="Z374" s="322"/>
    </row>
    <row r="375" spans="2:26" s="561" customFormat="1" ht="12.75" x14ac:dyDescent="0.2">
      <c r="B375" s="610" t="s">
        <v>552</v>
      </c>
      <c r="C375" s="2888"/>
      <c r="D375" s="2893"/>
      <c r="E375" s="2893"/>
      <c r="F375" s="2893"/>
      <c r="G375" s="2889"/>
      <c r="H375" s="279"/>
      <c r="I375" s="379">
        <f t="shared" si="56"/>
        <v>45</v>
      </c>
      <c r="J375" s="380">
        <f t="shared" si="57"/>
        <v>0</v>
      </c>
      <c r="K375" s="312">
        <f t="shared" si="55"/>
        <v>0</v>
      </c>
      <c r="L375" s="551"/>
      <c r="X375" s="322"/>
      <c r="Y375" s="322"/>
      <c r="Z375" s="322"/>
    </row>
    <row r="376" spans="2:26" s="561" customFormat="1" x14ac:dyDescent="0.2">
      <c r="B376" s="610" t="s">
        <v>553</v>
      </c>
      <c r="C376" s="2888"/>
      <c r="D376" s="2893"/>
      <c r="E376" s="2893"/>
      <c r="F376" s="2893"/>
      <c r="G376" s="2889"/>
      <c r="H376" s="279"/>
      <c r="I376" s="379">
        <f t="shared" si="56"/>
        <v>45</v>
      </c>
      <c r="J376" s="380">
        <f t="shared" si="57"/>
        <v>0</v>
      </c>
      <c r="K376" s="312">
        <f t="shared" si="55"/>
        <v>0</v>
      </c>
      <c r="L376" s="197"/>
      <c r="Q376" s="494"/>
      <c r="X376" s="322"/>
      <c r="Y376" s="322"/>
      <c r="Z376" s="322"/>
    </row>
    <row r="377" spans="2:26" s="561" customFormat="1" x14ac:dyDescent="0.2">
      <c r="B377" s="610" t="s">
        <v>554</v>
      </c>
      <c r="C377" s="2888"/>
      <c r="D377" s="2893"/>
      <c r="E377" s="2893"/>
      <c r="F377" s="2893"/>
      <c r="G377" s="2889"/>
      <c r="H377" s="279"/>
      <c r="I377" s="379">
        <f t="shared" si="56"/>
        <v>45</v>
      </c>
      <c r="J377" s="380">
        <f t="shared" si="57"/>
        <v>0</v>
      </c>
      <c r="K377" s="312">
        <f t="shared" si="55"/>
        <v>0</v>
      </c>
      <c r="L377" s="200"/>
      <c r="Q377" s="611"/>
      <c r="X377" s="322"/>
      <c r="Y377" s="322"/>
      <c r="Z377" s="322"/>
    </row>
    <row r="378" spans="2:26" s="436" customFormat="1" ht="15" x14ac:dyDescent="0.2">
      <c r="B378" s="340"/>
      <c r="C378" s="391"/>
      <c r="D378" s="392"/>
      <c r="E378" s="392"/>
      <c r="F378" s="392"/>
      <c r="G378" s="392"/>
      <c r="H378" s="344"/>
      <c r="I378" s="423" t="s">
        <v>283</v>
      </c>
      <c r="J378" s="320">
        <f>SUM(J370:J377)</f>
        <v>0</v>
      </c>
      <c r="K378" s="321">
        <f>SUM(K370:K377)</f>
        <v>0</v>
      </c>
      <c r="L378" s="268"/>
      <c r="M378" s="494"/>
      <c r="N378" s="494"/>
      <c r="O378" s="494"/>
      <c r="P378" s="494"/>
      <c r="Q378" s="268"/>
      <c r="X378" s="437"/>
      <c r="Y378" s="437"/>
      <c r="Z378" s="437"/>
    </row>
    <row r="379" spans="2:26" s="436" customFormat="1" ht="21" customHeight="1" x14ac:dyDescent="0.2">
      <c r="B379" s="395"/>
      <c r="C379" s="395"/>
      <c r="D379" s="440"/>
      <c r="E379" s="440"/>
      <c r="F379" s="440"/>
      <c r="G379" s="440"/>
      <c r="H379" s="205"/>
      <c r="I379" s="441"/>
      <c r="J379" s="442"/>
      <c r="K379" s="442"/>
      <c r="L379" s="612"/>
      <c r="M379" s="611"/>
      <c r="N379" s="611"/>
      <c r="O379" s="611"/>
      <c r="P379" s="611"/>
      <c r="Q379" s="612"/>
      <c r="X379" s="437"/>
      <c r="Y379" s="437"/>
      <c r="Z379" s="437"/>
    </row>
    <row r="380" spans="2:26" s="436" customFormat="1" ht="18" x14ac:dyDescent="0.25">
      <c r="B380" s="614">
        <v>8</v>
      </c>
      <c r="C380" s="615" t="s">
        <v>335</v>
      </c>
      <c r="D380" s="616"/>
      <c r="E380" s="616"/>
      <c r="F380" s="616"/>
      <c r="G380" s="616"/>
      <c r="H380" s="616"/>
      <c r="I380" s="616"/>
      <c r="J380" s="616"/>
      <c r="K380" s="617"/>
      <c r="L380" s="561"/>
      <c r="M380" s="268"/>
      <c r="N380" s="268"/>
      <c r="O380" s="268"/>
      <c r="P380" s="268"/>
      <c r="Q380" s="561"/>
      <c r="X380" s="437"/>
      <c r="Y380" s="437"/>
      <c r="Z380" s="437"/>
    </row>
    <row r="381" spans="2:26" s="436" customFormat="1" ht="12.75" x14ac:dyDescent="0.2">
      <c r="B381" s="618"/>
      <c r="C381" s="2915" t="s">
        <v>555</v>
      </c>
      <c r="D381" s="2916"/>
      <c r="E381" s="2916"/>
      <c r="F381" s="2917"/>
      <c r="G381" s="239" t="s">
        <v>280</v>
      </c>
      <c r="H381" s="619" t="s">
        <v>556</v>
      </c>
      <c r="I381" s="243" t="s">
        <v>442</v>
      </c>
      <c r="J381" s="243" t="s">
        <v>443</v>
      </c>
      <c r="K381" s="364" t="s">
        <v>443</v>
      </c>
      <c r="L381" s="561"/>
      <c r="M381" s="612"/>
      <c r="N381" s="612"/>
      <c r="O381" s="612"/>
      <c r="P381" s="612"/>
      <c r="Q381" s="561"/>
      <c r="X381" s="437"/>
      <c r="Y381" s="437"/>
      <c r="Z381" s="437"/>
    </row>
    <row r="382" spans="2:26" s="436" customFormat="1" ht="12.75" x14ac:dyDescent="0.2">
      <c r="B382" s="620"/>
      <c r="C382" s="621"/>
      <c r="D382" s="622"/>
      <c r="E382" s="622"/>
      <c r="F382" s="622"/>
      <c r="G382" s="338" t="s">
        <v>557</v>
      </c>
      <c r="H382" s="338" t="s">
        <v>558</v>
      </c>
      <c r="I382" s="258" t="s">
        <v>448</v>
      </c>
      <c r="J382" s="258" t="s">
        <v>445</v>
      </c>
      <c r="K382" s="259" t="s">
        <v>315</v>
      </c>
      <c r="L382" s="561"/>
      <c r="M382" s="561"/>
      <c r="N382" s="561"/>
      <c r="O382" s="561"/>
      <c r="P382" s="561"/>
      <c r="Q382" s="561"/>
      <c r="X382" s="437"/>
      <c r="Y382" s="437"/>
      <c r="Z382" s="437"/>
    </row>
    <row r="383" spans="2:26" s="532" customFormat="1" x14ac:dyDescent="0.2">
      <c r="B383" s="610" t="s">
        <v>547</v>
      </c>
      <c r="C383" s="2904"/>
      <c r="D383" s="2893"/>
      <c r="E383" s="2893"/>
      <c r="F383" s="2889"/>
      <c r="G383" s="279"/>
      <c r="H383" s="279"/>
      <c r="I383" s="541">
        <v>15</v>
      </c>
      <c r="J383" s="380">
        <f>((I383*H383)/100)</f>
        <v>0</v>
      </c>
      <c r="K383" s="312">
        <f>J383/15</f>
        <v>0</v>
      </c>
      <c r="L383" s="561"/>
      <c r="M383" s="561"/>
      <c r="N383" s="561"/>
      <c r="O383" s="561"/>
      <c r="P383" s="561"/>
      <c r="Q383" s="561"/>
      <c r="X383" s="495"/>
      <c r="Y383" s="495"/>
      <c r="Z383" s="495"/>
    </row>
    <row r="384" spans="2:26" s="214" customFormat="1" x14ac:dyDescent="0.2">
      <c r="B384" s="610" t="s">
        <v>548</v>
      </c>
      <c r="C384" s="2888"/>
      <c r="D384" s="2893"/>
      <c r="E384" s="2893"/>
      <c r="F384" s="2889"/>
      <c r="G384" s="279"/>
      <c r="H384" s="279"/>
      <c r="I384" s="541">
        <v>15</v>
      </c>
      <c r="J384" s="380">
        <f>((I384*H384)/100)</f>
        <v>0</v>
      </c>
      <c r="K384" s="312">
        <f>J384/15</f>
        <v>0</v>
      </c>
      <c r="L384" s="561"/>
      <c r="M384" s="561"/>
      <c r="N384" s="561"/>
      <c r="O384" s="561"/>
      <c r="P384" s="561"/>
      <c r="Q384" s="561"/>
      <c r="X384" s="222"/>
      <c r="Y384" s="222"/>
      <c r="Z384" s="222"/>
    </row>
    <row r="385" spans="2:26" x14ac:dyDescent="0.2">
      <c r="B385" s="610" t="s">
        <v>549</v>
      </c>
      <c r="C385" s="2888"/>
      <c r="D385" s="2893"/>
      <c r="E385" s="2893"/>
      <c r="F385" s="2889"/>
      <c r="G385" s="279"/>
      <c r="H385" s="279"/>
      <c r="I385" s="541">
        <v>15</v>
      </c>
      <c r="J385" s="380">
        <f>((I385*H385)/100)</f>
        <v>0</v>
      </c>
      <c r="K385" s="312">
        <f>J385/15</f>
        <v>0</v>
      </c>
      <c r="L385" s="436"/>
      <c r="M385" s="561"/>
      <c r="N385" s="561"/>
      <c r="O385" s="561"/>
      <c r="P385" s="561"/>
      <c r="Q385" s="436"/>
    </row>
    <row r="386" spans="2:26" s="438" customFormat="1" ht="12.75" x14ac:dyDescent="0.2">
      <c r="B386" s="610" t="s">
        <v>550</v>
      </c>
      <c r="C386" s="2888"/>
      <c r="D386" s="2893"/>
      <c r="E386" s="2893"/>
      <c r="F386" s="2889"/>
      <c r="G386" s="279"/>
      <c r="H386" s="279"/>
      <c r="I386" s="541">
        <v>15</v>
      </c>
      <c r="J386" s="380">
        <f>((I386*H386)/100)</f>
        <v>0</v>
      </c>
      <c r="K386" s="312">
        <f>J386/15</f>
        <v>0</v>
      </c>
      <c r="L386" s="436"/>
      <c r="M386" s="561"/>
      <c r="N386" s="561"/>
      <c r="O386" s="561"/>
      <c r="P386" s="561"/>
      <c r="Q386" s="436"/>
      <c r="X386" s="437"/>
      <c r="Y386" s="437"/>
      <c r="Z386" s="437"/>
    </row>
    <row r="387" spans="2:26" s="436" customFormat="1" ht="12.75" x14ac:dyDescent="0.2">
      <c r="B387" s="610" t="s">
        <v>551</v>
      </c>
      <c r="C387" s="2888"/>
      <c r="D387" s="2893"/>
      <c r="E387" s="2893"/>
      <c r="F387" s="2889"/>
      <c r="G387" s="279"/>
      <c r="H387" s="279"/>
      <c r="I387" s="541">
        <v>15</v>
      </c>
      <c r="J387" s="380">
        <f>((I387*H387)/100)</f>
        <v>0</v>
      </c>
      <c r="K387" s="312">
        <f>J387/15</f>
        <v>0</v>
      </c>
      <c r="X387" s="437"/>
      <c r="Y387" s="437"/>
      <c r="Z387" s="437"/>
    </row>
    <row r="388" spans="2:26" s="532" customFormat="1" ht="15" x14ac:dyDescent="0.2">
      <c r="B388" s="340"/>
      <c r="C388" s="391"/>
      <c r="D388" s="533"/>
      <c r="E388" s="533"/>
      <c r="F388" s="533"/>
      <c r="G388" s="344"/>
      <c r="H388" s="344"/>
      <c r="I388" s="423" t="s">
        <v>283</v>
      </c>
      <c r="J388" s="483">
        <f>SUM(J383:J387)</f>
        <v>0</v>
      </c>
      <c r="K388" s="484">
        <f>SUM(K383:K387)</f>
        <v>0</v>
      </c>
      <c r="L388" s="436"/>
      <c r="M388" s="436"/>
      <c r="N388" s="436"/>
      <c r="O388" s="436"/>
      <c r="P388" s="436"/>
      <c r="Q388" s="436"/>
      <c r="X388" s="495"/>
      <c r="Y388" s="495"/>
      <c r="Z388" s="495"/>
    </row>
    <row r="389" spans="2:26" s="535" customFormat="1" x14ac:dyDescent="0.2">
      <c r="B389" s="623" t="s">
        <v>559</v>
      </c>
      <c r="C389" s="551"/>
      <c r="D389" s="624"/>
      <c r="E389" s="625"/>
      <c r="F389" s="626"/>
      <c r="G389" s="626"/>
      <c r="H389" s="626"/>
      <c r="I389" s="626"/>
      <c r="J389" s="627"/>
      <c r="K389" s="627"/>
      <c r="L389" s="436"/>
      <c r="M389" s="436"/>
      <c r="N389" s="436"/>
      <c r="O389" s="436"/>
      <c r="P389" s="436"/>
      <c r="Q389" s="436"/>
      <c r="X389" s="536"/>
      <c r="Y389" s="536"/>
      <c r="Z389" s="536"/>
    </row>
    <row r="390" spans="2:26" s="293" customFormat="1" x14ac:dyDescent="0.2">
      <c r="B390" s="623"/>
      <c r="C390" s="628" t="s">
        <v>560</v>
      </c>
      <c r="D390" s="624"/>
      <c r="E390" s="625"/>
      <c r="F390" s="626"/>
      <c r="G390" s="626"/>
      <c r="H390" s="626"/>
      <c r="I390" s="626"/>
      <c r="J390" s="627"/>
      <c r="K390" s="627"/>
      <c r="L390" s="520"/>
      <c r="M390" s="436"/>
      <c r="N390" s="436"/>
      <c r="O390" s="436"/>
      <c r="P390" s="436"/>
      <c r="Q390" s="532"/>
      <c r="X390" s="294"/>
      <c r="Y390" s="294"/>
      <c r="Z390" s="294"/>
    </row>
    <row r="391" spans="2:26" s="612" customFormat="1" ht="9" customHeight="1" x14ac:dyDescent="0.2">
      <c r="B391" s="551"/>
      <c r="C391" s="628" t="s">
        <v>561</v>
      </c>
      <c r="D391" s="624"/>
      <c r="E391" s="625"/>
      <c r="F391" s="626"/>
      <c r="G391" s="626"/>
      <c r="H391" s="626"/>
      <c r="I391" s="626"/>
      <c r="J391" s="627"/>
      <c r="K391" s="627"/>
      <c r="L391" s="232"/>
      <c r="M391" s="436"/>
      <c r="N391" s="436"/>
      <c r="O391" s="436"/>
      <c r="P391" s="436"/>
      <c r="Q391" s="214"/>
      <c r="X391" s="613"/>
      <c r="Y391" s="613"/>
      <c r="Z391" s="613"/>
    </row>
    <row r="392" spans="2:26" s="561" customFormat="1" ht="18" customHeight="1" x14ac:dyDescent="0.25">
      <c r="B392" s="215">
        <v>9</v>
      </c>
      <c r="C392" s="216" t="s">
        <v>337</v>
      </c>
      <c r="D392" s="629"/>
      <c r="E392" s="629"/>
      <c r="F392" s="629"/>
      <c r="G392" s="629"/>
      <c r="H392" s="498"/>
      <c r="I392" s="498"/>
      <c r="J392" s="498"/>
      <c r="K392" s="499"/>
      <c r="L392" s="197"/>
      <c r="M392" s="532"/>
      <c r="N392" s="532"/>
      <c r="O392" s="532"/>
      <c r="P392" s="532"/>
      <c r="Q392" s="187"/>
      <c r="X392" s="322"/>
      <c r="Y392" s="322"/>
      <c r="Z392" s="322"/>
    </row>
    <row r="393" spans="2:26" s="561" customFormat="1" ht="15" x14ac:dyDescent="0.2">
      <c r="B393" s="223">
        <v>9.1</v>
      </c>
      <c r="C393" s="224" t="s">
        <v>562</v>
      </c>
      <c r="D393" s="630"/>
      <c r="E393" s="630"/>
      <c r="F393" s="630"/>
      <c r="G393" s="630"/>
      <c r="H393" s="226"/>
      <c r="I393" s="226"/>
      <c r="J393" s="225"/>
      <c r="K393" s="550"/>
      <c r="L393" s="559"/>
      <c r="M393" s="214"/>
      <c r="N393" s="214"/>
      <c r="O393" s="214"/>
      <c r="P393" s="214"/>
      <c r="Q393" s="438"/>
      <c r="X393" s="322"/>
      <c r="Y393" s="322"/>
      <c r="Z393" s="322"/>
    </row>
    <row r="394" spans="2:26" s="561" customFormat="1" ht="12" customHeight="1" x14ac:dyDescent="0.2">
      <c r="B394" s="452"/>
      <c r="C394" s="453"/>
      <c r="D394" s="453"/>
      <c r="E394" s="386"/>
      <c r="F394" s="386"/>
      <c r="G394" s="631"/>
      <c r="H394" s="632" t="s">
        <v>563</v>
      </c>
      <c r="I394" s="633" t="s">
        <v>442</v>
      </c>
      <c r="J394" s="633" t="s">
        <v>443</v>
      </c>
      <c r="K394" s="503" t="s">
        <v>443</v>
      </c>
      <c r="L394" s="551"/>
      <c r="M394" s="187"/>
      <c r="N394" s="187"/>
      <c r="O394" s="187"/>
      <c r="P394" s="187"/>
      <c r="Q394" s="436"/>
      <c r="X394" s="322"/>
      <c r="Y394" s="322"/>
      <c r="Z394" s="322"/>
    </row>
    <row r="395" spans="2:26" s="561" customFormat="1" ht="12" customHeight="1" x14ac:dyDescent="0.2">
      <c r="B395" s="634"/>
      <c r="C395" s="635"/>
      <c r="D395" s="386"/>
      <c r="E395" s="386"/>
      <c r="F395" s="386"/>
      <c r="G395" s="636"/>
      <c r="H395" s="632" t="s">
        <v>564</v>
      </c>
      <c r="I395" s="633" t="s">
        <v>448</v>
      </c>
      <c r="J395" s="633" t="s">
        <v>445</v>
      </c>
      <c r="K395" s="633" t="s">
        <v>315</v>
      </c>
      <c r="L395" s="520"/>
      <c r="M395" s="438"/>
      <c r="N395" s="438"/>
      <c r="O395" s="438"/>
      <c r="P395" s="438"/>
      <c r="Q395" s="532"/>
      <c r="X395" s="322"/>
      <c r="Y395" s="322"/>
      <c r="Z395" s="322"/>
    </row>
    <row r="396" spans="2:26" s="561" customFormat="1" ht="20.25" customHeight="1" x14ac:dyDescent="0.2">
      <c r="B396" s="637"/>
      <c r="C396" s="2913" t="s">
        <v>565</v>
      </c>
      <c r="D396" s="2913"/>
      <c r="E396" s="2913"/>
      <c r="F396" s="2913"/>
      <c r="G396" s="2914"/>
      <c r="H396" s="638"/>
      <c r="I396" s="639">
        <v>0.5</v>
      </c>
      <c r="J396" s="640">
        <f>I396*H396</f>
        <v>0</v>
      </c>
      <c r="K396" s="640">
        <f>J396/15</f>
        <v>0</v>
      </c>
      <c r="L396" s="557"/>
      <c r="M396" s="436"/>
      <c r="N396" s="436"/>
      <c r="O396" s="436"/>
      <c r="P396" s="436"/>
      <c r="Q396" s="535"/>
      <c r="X396" s="322"/>
      <c r="Y396" s="322"/>
      <c r="Z396" s="322"/>
    </row>
    <row r="397" spans="2:26" s="561" customFormat="1" ht="12" customHeight="1" x14ac:dyDescent="0.2">
      <c r="B397" s="641"/>
      <c r="C397" s="642"/>
      <c r="D397" s="643"/>
      <c r="E397" s="643"/>
      <c r="F397" s="643"/>
      <c r="G397" s="643"/>
      <c r="H397" s="644"/>
      <c r="I397" s="644"/>
      <c r="J397" s="645">
        <f>J396</f>
        <v>0</v>
      </c>
      <c r="K397" s="645">
        <f>K396</f>
        <v>0</v>
      </c>
      <c r="L397" s="565"/>
      <c r="M397" s="532"/>
      <c r="N397" s="532"/>
      <c r="O397" s="532"/>
      <c r="P397" s="532"/>
      <c r="Q397" s="293"/>
      <c r="X397" s="322"/>
      <c r="Y397" s="322"/>
      <c r="Z397" s="322"/>
    </row>
    <row r="398" spans="2:26" s="561" customFormat="1" ht="7.5" customHeight="1" x14ac:dyDescent="0.2">
      <c r="B398" s="543"/>
      <c r="C398" s="544"/>
      <c r="D398" s="545"/>
      <c r="E398" s="545"/>
      <c r="F398" s="545"/>
      <c r="G398" s="545"/>
      <c r="H398" s="546"/>
      <c r="I398" s="546"/>
      <c r="J398" s="547"/>
      <c r="K398" s="548"/>
      <c r="L398" s="646"/>
      <c r="M398" s="535"/>
      <c r="N398" s="535"/>
      <c r="O398" s="535"/>
      <c r="P398" s="535"/>
      <c r="Q398" s="612"/>
      <c r="X398" s="322"/>
      <c r="Y398" s="322"/>
      <c r="Z398" s="322"/>
    </row>
    <row r="399" spans="2:26" s="268" customFormat="1" ht="30.75" customHeight="1" x14ac:dyDescent="0.2">
      <c r="B399" s="594">
        <v>9.1999999999999993</v>
      </c>
      <c r="C399" s="2911" t="s">
        <v>566</v>
      </c>
      <c r="D399" s="2911"/>
      <c r="E399" s="2911"/>
      <c r="F399" s="2911"/>
      <c r="G399" s="2911"/>
      <c r="H399" s="2911"/>
      <c r="I399" s="2911"/>
      <c r="J399" s="2911"/>
      <c r="K399" s="2912"/>
      <c r="L399" s="551"/>
      <c r="M399" s="293"/>
      <c r="N399" s="293"/>
      <c r="O399" s="293"/>
      <c r="P399" s="293"/>
      <c r="Q399" s="561"/>
      <c r="X399" s="322"/>
      <c r="Y399" s="322"/>
      <c r="Z399" s="322"/>
    </row>
    <row r="400" spans="2:26" s="612" customFormat="1" ht="12" customHeight="1" x14ac:dyDescent="0.2">
      <c r="B400" s="618"/>
      <c r="C400" s="2909" t="s">
        <v>491</v>
      </c>
      <c r="D400" s="2909"/>
      <c r="E400" s="2909"/>
      <c r="F400" s="2909"/>
      <c r="G400" s="2909"/>
      <c r="H400" s="239" t="s">
        <v>280</v>
      </c>
      <c r="I400" s="243" t="s">
        <v>442</v>
      </c>
      <c r="J400" s="243" t="s">
        <v>443</v>
      </c>
      <c r="K400" s="647" t="s">
        <v>563</v>
      </c>
      <c r="L400" s="551"/>
      <c r="Q400" s="561"/>
      <c r="X400" s="613"/>
      <c r="Y400" s="613"/>
      <c r="Z400" s="613"/>
    </row>
    <row r="401" spans="2:26" s="561" customFormat="1" ht="12" customHeight="1" x14ac:dyDescent="0.2">
      <c r="B401" s="620"/>
      <c r="C401" s="2910"/>
      <c r="D401" s="2910"/>
      <c r="E401" s="2910"/>
      <c r="F401" s="2910"/>
      <c r="G401" s="2910"/>
      <c r="H401" s="338" t="s">
        <v>567</v>
      </c>
      <c r="I401" s="258" t="s">
        <v>448</v>
      </c>
      <c r="J401" s="258" t="s">
        <v>445</v>
      </c>
      <c r="K401" s="259" t="s">
        <v>568</v>
      </c>
      <c r="L401" s="551"/>
      <c r="X401" s="322"/>
      <c r="Y401" s="322"/>
      <c r="Z401" s="322"/>
    </row>
    <row r="402" spans="2:26" s="561" customFormat="1" ht="12" customHeight="1" x14ac:dyDescent="0.2">
      <c r="B402" s="648"/>
      <c r="C402" s="649" t="s">
        <v>569</v>
      </c>
      <c r="D402" s="650"/>
      <c r="E402" s="650"/>
      <c r="F402" s="650"/>
      <c r="G402" s="650"/>
      <c r="H402" s="651"/>
      <c r="I402" s="652"/>
      <c r="J402" s="652"/>
      <c r="K402" s="653"/>
      <c r="L402" s="551"/>
      <c r="X402" s="322"/>
      <c r="Y402" s="322"/>
      <c r="Z402" s="322"/>
    </row>
    <row r="403" spans="2:26" s="561" customFormat="1" ht="12" customHeight="1" x14ac:dyDescent="0.2">
      <c r="B403" s="278" t="s">
        <v>547</v>
      </c>
      <c r="C403" s="2888"/>
      <c r="D403" s="2893"/>
      <c r="E403" s="2893"/>
      <c r="F403" s="2893"/>
      <c r="G403" s="2893"/>
      <c r="H403" s="279"/>
      <c r="I403" s="541">
        <v>50</v>
      </c>
      <c r="J403" s="380">
        <f>IF(OR(H403="",H403=0),0,I403/H403)</f>
        <v>0</v>
      </c>
      <c r="K403" s="312">
        <f>J403/15</f>
        <v>0</v>
      </c>
      <c r="L403" s="551"/>
      <c r="X403" s="322"/>
      <c r="Y403" s="322"/>
      <c r="Z403" s="322"/>
    </row>
    <row r="404" spans="2:26" s="561" customFormat="1" ht="12" customHeight="1" x14ac:dyDescent="0.2">
      <c r="B404" s="278" t="s">
        <v>548</v>
      </c>
      <c r="C404" s="2904"/>
      <c r="D404" s="2893"/>
      <c r="E404" s="2893"/>
      <c r="F404" s="2893"/>
      <c r="G404" s="2893"/>
      <c r="H404" s="279"/>
      <c r="I404" s="541">
        <v>50</v>
      </c>
      <c r="J404" s="380">
        <f>IF(OR(H404="",H404=0),0,I404/H404)</f>
        <v>0</v>
      </c>
      <c r="K404" s="312">
        <f>J404/15</f>
        <v>0</v>
      </c>
      <c r="L404" s="551"/>
      <c r="X404" s="322"/>
      <c r="Y404" s="322"/>
      <c r="Z404" s="322"/>
    </row>
    <row r="405" spans="2:26" s="561" customFormat="1" ht="12" customHeight="1" x14ac:dyDescent="0.2">
      <c r="B405" s="278" t="s">
        <v>549</v>
      </c>
      <c r="C405" s="2888"/>
      <c r="D405" s="2893"/>
      <c r="E405" s="2893"/>
      <c r="F405" s="2893"/>
      <c r="G405" s="2893"/>
      <c r="H405" s="279"/>
      <c r="I405" s="541">
        <v>50</v>
      </c>
      <c r="J405" s="380">
        <f>IF(OR(H405="",H405=0),0,I405/H405)</f>
        <v>0</v>
      </c>
      <c r="K405" s="312">
        <f>J405/15</f>
        <v>0</v>
      </c>
      <c r="L405" s="551"/>
      <c r="X405" s="322"/>
      <c r="Y405" s="322"/>
      <c r="Z405" s="322"/>
    </row>
    <row r="406" spans="2:26" s="561" customFormat="1" ht="12" customHeight="1" x14ac:dyDescent="0.2">
      <c r="B406" s="278" t="s">
        <v>550</v>
      </c>
      <c r="C406" s="2888"/>
      <c r="D406" s="2893"/>
      <c r="E406" s="2893"/>
      <c r="F406" s="2893"/>
      <c r="G406" s="2893"/>
      <c r="H406" s="279"/>
      <c r="I406" s="541">
        <v>50</v>
      </c>
      <c r="J406" s="380">
        <f>IF(OR(H406="",H406=0),0,I406/H406)</f>
        <v>0</v>
      </c>
      <c r="K406" s="312">
        <f>J406/15</f>
        <v>0</v>
      </c>
      <c r="L406" s="559"/>
      <c r="Q406" s="268"/>
      <c r="X406" s="322"/>
      <c r="Y406" s="322"/>
      <c r="Z406" s="322"/>
    </row>
    <row r="407" spans="2:26" s="561" customFormat="1" ht="12.75" x14ac:dyDescent="0.2">
      <c r="B407" s="278" t="s">
        <v>551</v>
      </c>
      <c r="C407" s="2888"/>
      <c r="D407" s="2893"/>
      <c r="E407" s="2893"/>
      <c r="F407" s="2893"/>
      <c r="G407" s="2893"/>
      <c r="H407" s="279"/>
      <c r="I407" s="541">
        <v>50</v>
      </c>
      <c r="J407" s="380">
        <f>IF(OR(H407="",H407=0),0,I407/H407)</f>
        <v>0</v>
      </c>
      <c r="K407" s="312">
        <f>J407/15</f>
        <v>0</v>
      </c>
      <c r="L407" s="646"/>
      <c r="Q407" s="612"/>
      <c r="X407" s="322"/>
      <c r="Y407" s="322"/>
      <c r="Z407" s="322"/>
    </row>
    <row r="408" spans="2:26" s="268" customFormat="1" ht="12.75" x14ac:dyDescent="0.2">
      <c r="B408" s="654"/>
      <c r="C408" s="655"/>
      <c r="D408" s="656"/>
      <c r="E408" s="656"/>
      <c r="F408" s="656"/>
      <c r="G408" s="656"/>
      <c r="H408" s="656"/>
      <c r="I408" s="657" t="s">
        <v>283</v>
      </c>
      <c r="J408" s="658">
        <f>SUM(J403:J407)</f>
        <v>0</v>
      </c>
      <c r="K408" s="659">
        <f>SUM(K403:K407)</f>
        <v>0</v>
      </c>
      <c r="L408" s="551"/>
      <c r="Q408" s="561"/>
      <c r="X408" s="322"/>
      <c r="Y408" s="322"/>
      <c r="Z408" s="322"/>
    </row>
    <row r="409" spans="2:26" s="356" customFormat="1" ht="12.75" x14ac:dyDescent="0.2">
      <c r="B409" s="618"/>
      <c r="C409" s="2909" t="s">
        <v>491</v>
      </c>
      <c r="D409" s="2909"/>
      <c r="E409" s="2909"/>
      <c r="F409" s="2909"/>
      <c r="G409" s="2909"/>
      <c r="H409" s="239" t="s">
        <v>570</v>
      </c>
      <c r="I409" s="243" t="s">
        <v>442</v>
      </c>
      <c r="J409" s="243" t="s">
        <v>443</v>
      </c>
      <c r="K409" s="647" t="s">
        <v>563</v>
      </c>
      <c r="L409" s="551"/>
      <c r="M409" s="612"/>
      <c r="N409" s="612"/>
      <c r="O409" s="612"/>
      <c r="P409" s="612"/>
      <c r="Q409" s="561"/>
      <c r="X409" s="357"/>
      <c r="Y409" s="357"/>
      <c r="Z409" s="357"/>
    </row>
    <row r="410" spans="2:26" x14ac:dyDescent="0.2">
      <c r="B410" s="620"/>
      <c r="C410" s="2910"/>
      <c r="D410" s="2910"/>
      <c r="E410" s="2910"/>
      <c r="F410" s="2910"/>
      <c r="G410" s="2910"/>
      <c r="H410" s="338"/>
      <c r="I410" s="258" t="s">
        <v>448</v>
      </c>
      <c r="J410" s="258" t="s">
        <v>445</v>
      </c>
      <c r="K410" s="259" t="s">
        <v>568</v>
      </c>
      <c r="L410" s="551"/>
      <c r="M410" s="561"/>
      <c r="N410" s="561"/>
      <c r="O410" s="561"/>
      <c r="P410" s="561"/>
      <c r="Q410" s="561"/>
    </row>
    <row r="411" spans="2:26" x14ac:dyDescent="0.2">
      <c r="B411" s="660"/>
      <c r="C411" s="649" t="s">
        <v>571</v>
      </c>
      <c r="D411" s="650"/>
      <c r="E411" s="650"/>
      <c r="F411" s="650"/>
      <c r="G411" s="650"/>
      <c r="H411" s="661"/>
      <c r="I411" s="652"/>
      <c r="J411" s="652"/>
      <c r="K411" s="653"/>
      <c r="L411" s="551"/>
      <c r="M411" s="561"/>
      <c r="N411" s="561"/>
      <c r="O411" s="561"/>
      <c r="P411" s="561"/>
      <c r="Q411" s="561"/>
    </row>
    <row r="412" spans="2:26" x14ac:dyDescent="0.2">
      <c r="B412" s="278" t="s">
        <v>547</v>
      </c>
      <c r="C412" s="2888"/>
      <c r="D412" s="2893"/>
      <c r="E412" s="2893"/>
      <c r="F412" s="2893"/>
      <c r="G412" s="2893"/>
      <c r="H412" s="279"/>
      <c r="I412" s="541">
        <v>8</v>
      </c>
      <c r="J412" s="380">
        <f>I412*H412</f>
        <v>0</v>
      </c>
      <c r="K412" s="312">
        <f>J412/15</f>
        <v>0</v>
      </c>
      <c r="L412" s="551"/>
      <c r="M412" s="561"/>
      <c r="N412" s="561"/>
      <c r="O412" s="561"/>
      <c r="P412" s="561"/>
      <c r="Q412" s="561"/>
    </row>
    <row r="413" spans="2:26" x14ac:dyDescent="0.2">
      <c r="B413" s="278" t="s">
        <v>548</v>
      </c>
      <c r="C413" s="2904"/>
      <c r="D413" s="2893"/>
      <c r="E413" s="2893"/>
      <c r="F413" s="2893"/>
      <c r="G413" s="2893"/>
      <c r="H413" s="279"/>
      <c r="I413" s="541">
        <v>8</v>
      </c>
      <c r="J413" s="380">
        <f>I413*H413</f>
        <v>0</v>
      </c>
      <c r="K413" s="312">
        <f>J413/15</f>
        <v>0</v>
      </c>
      <c r="L413" s="551"/>
      <c r="M413" s="561"/>
      <c r="N413" s="561"/>
      <c r="O413" s="561"/>
      <c r="P413" s="561"/>
      <c r="Q413" s="561"/>
    </row>
    <row r="414" spans="2:26" x14ac:dyDescent="0.2">
      <c r="B414" s="278" t="s">
        <v>549</v>
      </c>
      <c r="C414" s="2888"/>
      <c r="D414" s="2893"/>
      <c r="E414" s="2893"/>
      <c r="F414" s="2893"/>
      <c r="G414" s="2893"/>
      <c r="H414" s="279"/>
      <c r="I414" s="541">
        <v>8</v>
      </c>
      <c r="J414" s="380">
        <f>I414*H414</f>
        <v>0</v>
      </c>
      <c r="K414" s="312">
        <f>J414/15</f>
        <v>0</v>
      </c>
      <c r="L414" s="551"/>
      <c r="M414" s="561"/>
      <c r="N414" s="561"/>
      <c r="O414" s="561"/>
      <c r="P414" s="561"/>
      <c r="Q414" s="561"/>
    </row>
    <row r="415" spans="2:26" x14ac:dyDescent="0.2">
      <c r="B415" s="278" t="s">
        <v>550</v>
      </c>
      <c r="C415" s="2888"/>
      <c r="D415" s="2893"/>
      <c r="E415" s="2893"/>
      <c r="F415" s="2893"/>
      <c r="G415" s="2893"/>
      <c r="H415" s="279"/>
      <c r="I415" s="541">
        <v>8</v>
      </c>
      <c r="J415" s="380">
        <f>I415*H415</f>
        <v>0</v>
      </c>
      <c r="K415" s="312">
        <f>J415/15</f>
        <v>0</v>
      </c>
      <c r="L415" s="559"/>
      <c r="M415" s="561"/>
      <c r="N415" s="561"/>
      <c r="O415" s="561"/>
      <c r="P415" s="561"/>
      <c r="Q415" s="268"/>
    </row>
    <row r="416" spans="2:26" x14ac:dyDescent="0.2">
      <c r="B416" s="278" t="s">
        <v>551</v>
      </c>
      <c r="C416" s="2888"/>
      <c r="D416" s="2893"/>
      <c r="E416" s="2893"/>
      <c r="F416" s="2893"/>
      <c r="G416" s="2893"/>
      <c r="H416" s="279"/>
      <c r="I416" s="541">
        <v>8</v>
      </c>
      <c r="J416" s="380">
        <f>I416*H416</f>
        <v>0</v>
      </c>
      <c r="K416" s="312">
        <f>J416/15</f>
        <v>0</v>
      </c>
      <c r="L416" s="275"/>
      <c r="M416" s="561"/>
      <c r="N416" s="561"/>
      <c r="O416" s="561"/>
      <c r="P416" s="561"/>
      <c r="Q416" s="356"/>
    </row>
    <row r="417" spans="2:16" x14ac:dyDescent="0.2">
      <c r="B417" s="654"/>
      <c r="C417" s="655"/>
      <c r="D417" s="656"/>
      <c r="E417" s="656"/>
      <c r="F417" s="656"/>
      <c r="G417" s="656"/>
      <c r="H417" s="656"/>
      <c r="I417" s="657" t="s">
        <v>283</v>
      </c>
      <c r="J417" s="658">
        <f>SUM(J412:J416)</f>
        <v>0</v>
      </c>
      <c r="K417" s="659">
        <f>SUM(K412:K416)</f>
        <v>0</v>
      </c>
      <c r="M417" s="268"/>
      <c r="N417" s="268"/>
      <c r="O417" s="268"/>
      <c r="P417" s="268"/>
    </row>
    <row r="418" spans="2:16" ht="15" x14ac:dyDescent="0.2">
      <c r="B418" s="662"/>
      <c r="C418" s="391"/>
      <c r="D418" s="392"/>
      <c r="E418" s="392"/>
      <c r="F418" s="392"/>
      <c r="G418" s="663"/>
      <c r="H418" s="483"/>
      <c r="I418" s="664" t="s">
        <v>572</v>
      </c>
      <c r="J418" s="320">
        <f>J397+J408+J417</f>
        <v>0</v>
      </c>
      <c r="K418" s="321">
        <f>K397+K408+K417</f>
        <v>0</v>
      </c>
      <c r="M418" s="356"/>
      <c r="N418" s="356"/>
      <c r="O418" s="356"/>
      <c r="P418" s="356"/>
    </row>
    <row r="419" spans="2:16" ht="15" x14ac:dyDescent="0.2">
      <c r="B419" s="275"/>
      <c r="C419" s="395"/>
      <c r="D419" s="440"/>
      <c r="E419" s="665"/>
      <c r="F419" s="440"/>
      <c r="G419" s="401"/>
      <c r="H419" s="401"/>
      <c r="I419" s="440"/>
      <c r="J419" s="442"/>
      <c r="K419" s="442"/>
    </row>
  </sheetData>
  <sheetProtection password="DED6" sheet="1" objects="1" scenarios="1" formatCells="0" formatColumns="0" formatRows="0" insertColumns="0" insertRows="0" insertHyperlinks="0"/>
  <mergeCells count="275">
    <mergeCell ref="D77:F77"/>
    <mergeCell ref="D78:F78"/>
    <mergeCell ref="D79:F79"/>
    <mergeCell ref="D80:F80"/>
    <mergeCell ref="D81:F81"/>
    <mergeCell ref="D82:F82"/>
    <mergeCell ref="D116:E116"/>
    <mergeCell ref="D115:E115"/>
    <mergeCell ref="Q23:T23"/>
    <mergeCell ref="D68:F68"/>
    <mergeCell ref="D34:E34"/>
    <mergeCell ref="D33:E33"/>
    <mergeCell ref="D32:E32"/>
    <mergeCell ref="D31:E31"/>
    <mergeCell ref="D48:E48"/>
    <mergeCell ref="D47:E47"/>
    <mergeCell ref="D46:E46"/>
    <mergeCell ref="D45:E45"/>
    <mergeCell ref="D44:E44"/>
    <mergeCell ref="D90:F90"/>
    <mergeCell ref="D91:F91"/>
    <mergeCell ref="D92:F92"/>
    <mergeCell ref="D93:F93"/>
    <mergeCell ref="D85:F85"/>
    <mergeCell ref="B12:B13"/>
    <mergeCell ref="C12:I12"/>
    <mergeCell ref="K12:K13"/>
    <mergeCell ref="C13:I13"/>
    <mergeCell ref="D43:E43"/>
    <mergeCell ref="D42:E42"/>
    <mergeCell ref="D41:E41"/>
    <mergeCell ref="D23:E23"/>
    <mergeCell ref="D30:E30"/>
    <mergeCell ref="D22:E22"/>
    <mergeCell ref="D24:E24"/>
    <mergeCell ref="J2:K2"/>
    <mergeCell ref="B6:K6"/>
    <mergeCell ref="C7:I7"/>
    <mergeCell ref="B8:B9"/>
    <mergeCell ref="C8:I8"/>
    <mergeCell ref="K8:K9"/>
    <mergeCell ref="C9:I9"/>
    <mergeCell ref="D71:F71"/>
    <mergeCell ref="D72:F72"/>
    <mergeCell ref="C14:I14"/>
    <mergeCell ref="C15:I15"/>
    <mergeCell ref="B16:J16"/>
    <mergeCell ref="B18:K18"/>
    <mergeCell ref="D55:E55"/>
    <mergeCell ref="D54:E54"/>
    <mergeCell ref="D53:E53"/>
    <mergeCell ref="D52:E52"/>
    <mergeCell ref="D51:E51"/>
    <mergeCell ref="D50:E50"/>
    <mergeCell ref="D49:E49"/>
    <mergeCell ref="B10:B11"/>
    <mergeCell ref="C10:I10"/>
    <mergeCell ref="K10:K11"/>
    <mergeCell ref="C11:I11"/>
    <mergeCell ref="D101:F101"/>
    <mergeCell ref="D95:F95"/>
    <mergeCell ref="D105:E105"/>
    <mergeCell ref="D106:E106"/>
    <mergeCell ref="D113:E113"/>
    <mergeCell ref="D112:E112"/>
    <mergeCell ref="D111:E111"/>
    <mergeCell ref="D97:F97"/>
    <mergeCell ref="D98:F98"/>
    <mergeCell ref="D99:F99"/>
    <mergeCell ref="D100:F100"/>
    <mergeCell ref="D147:E147"/>
    <mergeCell ref="D163:F163"/>
    <mergeCell ref="D164:F164"/>
    <mergeCell ref="D165:F165"/>
    <mergeCell ref="D166:F166"/>
    <mergeCell ref="D167:F167"/>
    <mergeCell ref="D131:E131"/>
    <mergeCell ref="D130:E130"/>
    <mergeCell ref="D137:E137"/>
    <mergeCell ref="D136:E136"/>
    <mergeCell ref="D135:E135"/>
    <mergeCell ref="D134:E134"/>
    <mergeCell ref="D133:E133"/>
    <mergeCell ref="D132:E132"/>
    <mergeCell ref="D152:F152"/>
    <mergeCell ref="D145:E145"/>
    <mergeCell ref="D146:E146"/>
    <mergeCell ref="D138:E138"/>
    <mergeCell ref="D139:E139"/>
    <mergeCell ref="D140:E140"/>
    <mergeCell ref="D141:E141"/>
    <mergeCell ref="D142:E142"/>
    <mergeCell ref="D143:E143"/>
    <mergeCell ref="D144:E144"/>
    <mergeCell ref="D168:F168"/>
    <mergeCell ref="D157:F157"/>
    <mergeCell ref="D158:F158"/>
    <mergeCell ref="D159:F159"/>
    <mergeCell ref="D160:F160"/>
    <mergeCell ref="D161:F161"/>
    <mergeCell ref="D162:F162"/>
    <mergeCell ref="D150:F150"/>
    <mergeCell ref="D153:F153"/>
    <mergeCell ref="D154:F154"/>
    <mergeCell ref="D155:F155"/>
    <mergeCell ref="D156:F156"/>
    <mergeCell ref="D151:F151"/>
    <mergeCell ref="D175:F175"/>
    <mergeCell ref="D176:F176"/>
    <mergeCell ref="D177:F177"/>
    <mergeCell ref="D178:F178"/>
    <mergeCell ref="D179:F179"/>
    <mergeCell ref="D180:F180"/>
    <mergeCell ref="D169:F169"/>
    <mergeCell ref="D170:F170"/>
    <mergeCell ref="D171:F171"/>
    <mergeCell ref="D172:F172"/>
    <mergeCell ref="D173:F173"/>
    <mergeCell ref="D174:F174"/>
    <mergeCell ref="D204:F204"/>
    <mergeCell ref="D208:F208"/>
    <mergeCell ref="D209:F209"/>
    <mergeCell ref="D210:F210"/>
    <mergeCell ref="D201:E201"/>
    <mergeCell ref="D200:E200"/>
    <mergeCell ref="D181:F181"/>
    <mergeCell ref="D182:F182"/>
    <mergeCell ref="D183:F183"/>
    <mergeCell ref="D188:E188"/>
    <mergeCell ref="D199:E199"/>
    <mergeCell ref="D198:E198"/>
    <mergeCell ref="D197:E197"/>
    <mergeCell ref="D196:E196"/>
    <mergeCell ref="D195:E195"/>
    <mergeCell ref="D194:E194"/>
    <mergeCell ref="D193:E193"/>
    <mergeCell ref="D192:E192"/>
    <mergeCell ref="D189:E189"/>
    <mergeCell ref="D205:F205"/>
    <mergeCell ref="D190:E190"/>
    <mergeCell ref="D206:F206"/>
    <mergeCell ref="D217:F217"/>
    <mergeCell ref="C221:F221"/>
    <mergeCell ref="C224:F224"/>
    <mergeCell ref="C225:F225"/>
    <mergeCell ref="C226:F226"/>
    <mergeCell ref="D230:F230"/>
    <mergeCell ref="D211:F211"/>
    <mergeCell ref="D212:F212"/>
    <mergeCell ref="D213:F213"/>
    <mergeCell ref="D214:F214"/>
    <mergeCell ref="D215:F215"/>
    <mergeCell ref="D216:F216"/>
    <mergeCell ref="C244:F244"/>
    <mergeCell ref="D248:F248"/>
    <mergeCell ref="D251:F251"/>
    <mergeCell ref="D252:F252"/>
    <mergeCell ref="D253:F253"/>
    <mergeCell ref="D254:F254"/>
    <mergeCell ref="D233:F233"/>
    <mergeCell ref="D234:F234"/>
    <mergeCell ref="D235:F235"/>
    <mergeCell ref="C239:F239"/>
    <mergeCell ref="C242:F242"/>
    <mergeCell ref="C243:F243"/>
    <mergeCell ref="C264:K264"/>
    <mergeCell ref="C334:F334"/>
    <mergeCell ref="C337:F337"/>
    <mergeCell ref="C338:F338"/>
    <mergeCell ref="C339:F339"/>
    <mergeCell ref="C340:F340"/>
    <mergeCell ref="C336:F336"/>
    <mergeCell ref="D255:F255"/>
    <mergeCell ref="D256:F256"/>
    <mergeCell ref="D257:F257"/>
    <mergeCell ref="D258:F258"/>
    <mergeCell ref="D259:F259"/>
    <mergeCell ref="D260:F260"/>
    <mergeCell ref="C352:F352"/>
    <mergeCell ref="C353:F353"/>
    <mergeCell ref="C357:G357"/>
    <mergeCell ref="C359:G359"/>
    <mergeCell ref="C360:G360"/>
    <mergeCell ref="C361:G361"/>
    <mergeCell ref="C341:F341"/>
    <mergeCell ref="C344:K344"/>
    <mergeCell ref="C346:F346"/>
    <mergeCell ref="C349:F349"/>
    <mergeCell ref="C350:F350"/>
    <mergeCell ref="C351:F351"/>
    <mergeCell ref="C373:G373"/>
    <mergeCell ref="C374:G374"/>
    <mergeCell ref="C375:G375"/>
    <mergeCell ref="C376:G376"/>
    <mergeCell ref="C377:G377"/>
    <mergeCell ref="C381:F381"/>
    <mergeCell ref="C362:G362"/>
    <mergeCell ref="C363:G363"/>
    <mergeCell ref="C368:G368"/>
    <mergeCell ref="C370:G370"/>
    <mergeCell ref="C371:G371"/>
    <mergeCell ref="C372:G372"/>
    <mergeCell ref="C400:G401"/>
    <mergeCell ref="C403:G403"/>
    <mergeCell ref="C404:G404"/>
    <mergeCell ref="C405:G405"/>
    <mergeCell ref="C406:G406"/>
    <mergeCell ref="C383:F383"/>
    <mergeCell ref="C384:F384"/>
    <mergeCell ref="C385:F385"/>
    <mergeCell ref="C386:F386"/>
    <mergeCell ref="C387:F387"/>
    <mergeCell ref="C396:G396"/>
    <mergeCell ref="C416:G416"/>
    <mergeCell ref="D25:E25"/>
    <mergeCell ref="D26:E26"/>
    <mergeCell ref="D29:E29"/>
    <mergeCell ref="D28:E28"/>
    <mergeCell ref="D27:E27"/>
    <mergeCell ref="D38:E38"/>
    <mergeCell ref="D37:E37"/>
    <mergeCell ref="D36:E36"/>
    <mergeCell ref="D35:E35"/>
    <mergeCell ref="C407:G407"/>
    <mergeCell ref="C409:G410"/>
    <mergeCell ref="C412:G412"/>
    <mergeCell ref="C413:G413"/>
    <mergeCell ref="C414:G414"/>
    <mergeCell ref="C415:G415"/>
    <mergeCell ref="C399:K399"/>
    <mergeCell ref="D40:E40"/>
    <mergeCell ref="D39:E39"/>
    <mergeCell ref="D110:E110"/>
    <mergeCell ref="D109:E109"/>
    <mergeCell ref="D108:E108"/>
    <mergeCell ref="D107:E107"/>
    <mergeCell ref="D89:F89"/>
    <mergeCell ref="D94:F94"/>
    <mergeCell ref="D83:F83"/>
    <mergeCell ref="D104:E104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70:F70"/>
    <mergeCell ref="D65:E65"/>
    <mergeCell ref="D69:F69"/>
    <mergeCell ref="D86:F86"/>
    <mergeCell ref="D87:F87"/>
    <mergeCell ref="D88:F88"/>
    <mergeCell ref="D73:F73"/>
    <mergeCell ref="D74:F74"/>
    <mergeCell ref="D75:F75"/>
    <mergeCell ref="D76:F76"/>
    <mergeCell ref="D84:F84"/>
    <mergeCell ref="D96:F96"/>
    <mergeCell ref="D129:E129"/>
    <mergeCell ref="D128:E128"/>
    <mergeCell ref="D126:E126"/>
    <mergeCell ref="D125:E125"/>
    <mergeCell ref="D124:E124"/>
    <mergeCell ref="D127:E127"/>
    <mergeCell ref="D114:E114"/>
    <mergeCell ref="D123:E123"/>
    <mergeCell ref="D122:E122"/>
    <mergeCell ref="D121:E121"/>
    <mergeCell ref="D120:E120"/>
    <mergeCell ref="D119:E119"/>
    <mergeCell ref="D118:E118"/>
    <mergeCell ref="D117:E117"/>
  </mergeCells>
  <dataValidations count="6">
    <dataValidation type="decimal" operator="greaterThan" allowBlank="1" showInputMessage="1" showErrorMessage="1" error="ท่านกรอกข้อมูลไม่ถูกต้อง กรุณากรอกเฉพาะตัวเลข" prompt="กรอกเฉพาะตัวเลข" sqref="G208:G217 G26:G65 G192:G201 G154:G183 G72:G101 G108:G147" xr:uid="{00000000-0002-0000-0400-000000000000}">
      <formula1>0</formula1>
    </dataValidation>
    <dataValidation type="whole" operator="greaterThan" allowBlank="1" showInputMessage="1" showErrorMessage="1" error="ท่านกรอกข้อมูลไม่ถูกต้อง กรุณากรอกเฉพาะตัวเลข" prompt="กรอกเฉพาะตัวเลข" sqref="F192:F201 F26:F65 F108:F147" xr:uid="{00000000-0002-0000-0400-000001000000}">
      <formula1>0</formula1>
    </dataValidation>
    <dataValidation type="list" allowBlank="1" showInputMessage="1" showErrorMessage="1" sqref="H348:H353" xr:uid="{00000000-0002-0000-0400-000002000000}">
      <formula1>PassList</formula1>
    </dataValidation>
    <dataValidation type="whole" allowBlank="1" showInputMessage="1" showErrorMessage="1" error="ค่าของสัดส่วนงานเกิน 100% กรุณากรอกใหม่ค่ะ" prompt="กรอกตัวเลขระหว่าง 1 - 100" sqref="H370:H377 G349:G353" xr:uid="{00000000-0002-0000-0400-000003000000}">
      <formula1>1</formula1>
      <formula2>100</formula2>
    </dataValidation>
    <dataValidation type="date" allowBlank="1" showInputMessage="1" showErrorMessage="1" errorTitle="รูปแบบวันที่ไม่ถูกต้อง" error="กรุณากรอกรูปแบบวันที่เป็น &quot;วว/ดด/ปปปป(พ.ศ.)&quot; _x000a_เช่น 25/08/2561" prompt="กรุณากรอกรูปแบบวันที่_x000a_วว/ดด/ปปปป(พ.ศ.) เช่น_x000a_25/08/2561" sqref="G336" xr:uid="{00000000-0002-0000-0400-000004000000}">
      <formula1>233757</formula1>
      <formula2>241700</formula2>
    </dataValidation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G337:G341" xr:uid="{00000000-0002-0000-0400-000005000000}"/>
  </dataValidations>
  <pageMargins left="0.86614173228346458" right="0.39370078740157483" top="0.59055118110236227" bottom="0.39370078740157483" header="0.19685039370078741" footer="0.19685039370078741"/>
  <pageSetup paperSize="9" orientation="landscape" horizontalDpi="300" verticalDpi="300" r:id="rId1"/>
  <headerFooter alignWithMargins="0">
    <oddHeader>&amp;Rส่วนที่ 1 การคำนวณภาระงานสอน   หน้าที่ &amp;P/&amp;N</oddHeader>
    <oddFooter>&amp;LAPS v.4.4 ข้าราชการ&amp;Cหน้าที่ &amp;P/&amp;N</oddFooter>
  </headerFooter>
  <rowBreaks count="5" manualBreakCount="5">
    <brk id="17" min="1" max="10" man="1"/>
    <brk id="282" min="1" max="10" man="1"/>
    <brk id="315" min="1" max="10" man="1"/>
    <brk id="343" min="1" max="10" man="1"/>
    <brk id="408" min="1" max="10" man="1"/>
  </rowBreaks>
  <colBreaks count="1" manualBreakCount="1">
    <brk id="11" min="1" max="41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9</xdr:col>
                    <xdr:colOff>342900</xdr:colOff>
                    <xdr:row>7</xdr:row>
                    <xdr:rowOff>57150</xdr:rowOff>
                  </from>
                  <to>
                    <xdr:col>9</xdr:col>
                    <xdr:colOff>609600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9</xdr:col>
                    <xdr:colOff>342900</xdr:colOff>
                    <xdr:row>9</xdr:row>
                    <xdr:rowOff>57150</xdr:rowOff>
                  </from>
                  <to>
                    <xdr:col>9</xdr:col>
                    <xdr:colOff>609600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9</xdr:col>
                    <xdr:colOff>342900</xdr:colOff>
                    <xdr:row>10</xdr:row>
                    <xdr:rowOff>76200</xdr:rowOff>
                  </from>
                  <to>
                    <xdr:col>9</xdr:col>
                    <xdr:colOff>609600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9</xdr:col>
                    <xdr:colOff>342900</xdr:colOff>
                    <xdr:row>11</xdr:row>
                    <xdr:rowOff>66675</xdr:rowOff>
                  </from>
                  <to>
                    <xdr:col>9</xdr:col>
                    <xdr:colOff>609600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9</xdr:col>
                    <xdr:colOff>342900</xdr:colOff>
                    <xdr:row>14</xdr:row>
                    <xdr:rowOff>57150</xdr:rowOff>
                  </from>
                  <to>
                    <xdr:col>9</xdr:col>
                    <xdr:colOff>609600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9</xdr:col>
                    <xdr:colOff>342900</xdr:colOff>
                    <xdr:row>8</xdr:row>
                    <xdr:rowOff>57150</xdr:rowOff>
                  </from>
                  <to>
                    <xdr:col>9</xdr:col>
                    <xdr:colOff>609600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9</xdr:col>
                    <xdr:colOff>342900</xdr:colOff>
                    <xdr:row>12</xdr:row>
                    <xdr:rowOff>66675</xdr:rowOff>
                  </from>
                  <to>
                    <xdr:col>9</xdr:col>
                    <xdr:colOff>609600</xdr:colOff>
                    <xdr:row>12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indexed="29"/>
  </sheetPr>
  <dimension ref="A2:AA303"/>
  <sheetViews>
    <sheetView showGridLines="0" zoomScaleNormal="100" workbookViewId="0">
      <selection activeCell="O4" sqref="O4"/>
    </sheetView>
  </sheetViews>
  <sheetFormatPr defaultRowHeight="12.75" x14ac:dyDescent="0.2"/>
  <cols>
    <col min="1" max="1" width="1.125" style="1035" customWidth="1"/>
    <col min="2" max="2" width="9.75" style="1035" customWidth="1"/>
    <col min="3" max="3" width="32.5" style="1035" customWidth="1"/>
    <col min="4" max="4" width="11.25" style="1035" bestFit="1" customWidth="1"/>
    <col min="5" max="5" width="10.625" style="1035" customWidth="1"/>
    <col min="6" max="6" width="10.875" style="1035" customWidth="1"/>
    <col min="7" max="7" width="10.375" style="1035" customWidth="1"/>
    <col min="8" max="8" width="10.25" style="1035" customWidth="1"/>
    <col min="9" max="9" width="10.375" style="1035" customWidth="1"/>
    <col min="10" max="10" width="26.625" style="1035" customWidth="1"/>
    <col min="11" max="12" width="13.875" style="1035" customWidth="1"/>
    <col min="13" max="13" width="22.625" style="1035" customWidth="1"/>
    <col min="14" max="14" width="11.875" style="1035" customWidth="1"/>
    <col min="15" max="15" width="11.875" style="1035" bestFit="1" customWidth="1"/>
    <col min="16" max="16" width="6.125" style="1035" customWidth="1"/>
    <col min="17" max="17" width="7.375" style="1035" bestFit="1" customWidth="1"/>
    <col min="18" max="18" width="11.5" style="1035" customWidth="1"/>
    <col min="19" max="20" width="10.75" style="1036" hidden="1" customWidth="1"/>
    <col min="21" max="21" width="10.625" style="1036" hidden="1" customWidth="1"/>
    <col min="22" max="22" width="8" style="1037" hidden="1" customWidth="1"/>
    <col min="23" max="25" width="8" style="1036" hidden="1" customWidth="1"/>
    <col min="26" max="26" width="8" style="1036" customWidth="1"/>
    <col min="27" max="27" width="9" style="1036"/>
    <col min="28" max="256" width="9" style="1035"/>
    <col min="257" max="257" width="5.875" style="1035" customWidth="1"/>
    <col min="258" max="258" width="11.375" style="1035" customWidth="1"/>
    <col min="259" max="259" width="28.25" style="1035" customWidth="1"/>
    <col min="260" max="260" width="12.375" style="1035" customWidth="1"/>
    <col min="261" max="261" width="11.25" style="1035" customWidth="1"/>
    <col min="262" max="262" width="11.875" style="1035" customWidth="1"/>
    <col min="263" max="263" width="11.75" style="1035" customWidth="1"/>
    <col min="264" max="264" width="11.875" style="1035" customWidth="1"/>
    <col min="265" max="267" width="11.75" style="1035" customWidth="1"/>
    <col min="268" max="269" width="10.75" style="1035" customWidth="1"/>
    <col min="270" max="270" width="25.25" style="1035" bestFit="1" customWidth="1"/>
    <col min="271" max="271" width="16.5" style="1035" bestFit="1" customWidth="1"/>
    <col min="272" max="512" width="9" style="1035"/>
    <col min="513" max="513" width="5.875" style="1035" customWidth="1"/>
    <col min="514" max="514" width="11.375" style="1035" customWidth="1"/>
    <col min="515" max="515" width="28.25" style="1035" customWidth="1"/>
    <col min="516" max="516" width="12.375" style="1035" customWidth="1"/>
    <col min="517" max="517" width="11.25" style="1035" customWidth="1"/>
    <col min="518" max="518" width="11.875" style="1035" customWidth="1"/>
    <col min="519" max="519" width="11.75" style="1035" customWidth="1"/>
    <col min="520" max="520" width="11.875" style="1035" customWidth="1"/>
    <col min="521" max="523" width="11.75" style="1035" customWidth="1"/>
    <col min="524" max="525" width="10.75" style="1035" customWidth="1"/>
    <col min="526" max="526" width="25.25" style="1035" bestFit="1" customWidth="1"/>
    <col min="527" max="527" width="16.5" style="1035" bestFit="1" customWidth="1"/>
    <col min="528" max="768" width="9" style="1035"/>
    <col min="769" max="769" width="5.875" style="1035" customWidth="1"/>
    <col min="770" max="770" width="11.375" style="1035" customWidth="1"/>
    <col min="771" max="771" width="28.25" style="1035" customWidth="1"/>
    <col min="772" max="772" width="12.375" style="1035" customWidth="1"/>
    <col min="773" max="773" width="11.25" style="1035" customWidth="1"/>
    <col min="774" max="774" width="11.875" style="1035" customWidth="1"/>
    <col min="775" max="775" width="11.75" style="1035" customWidth="1"/>
    <col min="776" max="776" width="11.875" style="1035" customWidth="1"/>
    <col min="777" max="779" width="11.75" style="1035" customWidth="1"/>
    <col min="780" max="781" width="10.75" style="1035" customWidth="1"/>
    <col min="782" max="782" width="25.25" style="1035" bestFit="1" customWidth="1"/>
    <col min="783" max="783" width="16.5" style="1035" bestFit="1" customWidth="1"/>
    <col min="784" max="1024" width="9" style="1035"/>
    <col min="1025" max="1025" width="5.875" style="1035" customWidth="1"/>
    <col min="1026" max="1026" width="11.375" style="1035" customWidth="1"/>
    <col min="1027" max="1027" width="28.25" style="1035" customWidth="1"/>
    <col min="1028" max="1028" width="12.375" style="1035" customWidth="1"/>
    <col min="1029" max="1029" width="11.25" style="1035" customWidth="1"/>
    <col min="1030" max="1030" width="11.875" style="1035" customWidth="1"/>
    <col min="1031" max="1031" width="11.75" style="1035" customWidth="1"/>
    <col min="1032" max="1032" width="11.875" style="1035" customWidth="1"/>
    <col min="1033" max="1035" width="11.75" style="1035" customWidth="1"/>
    <col min="1036" max="1037" width="10.75" style="1035" customWidth="1"/>
    <col min="1038" max="1038" width="25.25" style="1035" bestFit="1" customWidth="1"/>
    <col min="1039" max="1039" width="16.5" style="1035" bestFit="1" customWidth="1"/>
    <col min="1040" max="1280" width="9" style="1035"/>
    <col min="1281" max="1281" width="5.875" style="1035" customWidth="1"/>
    <col min="1282" max="1282" width="11.375" style="1035" customWidth="1"/>
    <col min="1283" max="1283" width="28.25" style="1035" customWidth="1"/>
    <col min="1284" max="1284" width="12.375" style="1035" customWidth="1"/>
    <col min="1285" max="1285" width="11.25" style="1035" customWidth="1"/>
    <col min="1286" max="1286" width="11.875" style="1035" customWidth="1"/>
    <col min="1287" max="1287" width="11.75" style="1035" customWidth="1"/>
    <col min="1288" max="1288" width="11.875" style="1035" customWidth="1"/>
    <col min="1289" max="1291" width="11.75" style="1035" customWidth="1"/>
    <col min="1292" max="1293" width="10.75" style="1035" customWidth="1"/>
    <col min="1294" max="1294" width="25.25" style="1035" bestFit="1" customWidth="1"/>
    <col min="1295" max="1295" width="16.5" style="1035" bestFit="1" customWidth="1"/>
    <col min="1296" max="1536" width="9" style="1035"/>
    <col min="1537" max="1537" width="5.875" style="1035" customWidth="1"/>
    <col min="1538" max="1538" width="11.375" style="1035" customWidth="1"/>
    <col min="1539" max="1539" width="28.25" style="1035" customWidth="1"/>
    <col min="1540" max="1540" width="12.375" style="1035" customWidth="1"/>
    <col min="1541" max="1541" width="11.25" style="1035" customWidth="1"/>
    <col min="1542" max="1542" width="11.875" style="1035" customWidth="1"/>
    <col min="1543" max="1543" width="11.75" style="1035" customWidth="1"/>
    <col min="1544" max="1544" width="11.875" style="1035" customWidth="1"/>
    <col min="1545" max="1547" width="11.75" style="1035" customWidth="1"/>
    <col min="1548" max="1549" width="10.75" style="1035" customWidth="1"/>
    <col min="1550" max="1550" width="25.25" style="1035" bestFit="1" customWidth="1"/>
    <col min="1551" max="1551" width="16.5" style="1035" bestFit="1" customWidth="1"/>
    <col min="1552" max="1792" width="9" style="1035"/>
    <col min="1793" max="1793" width="5.875" style="1035" customWidth="1"/>
    <col min="1794" max="1794" width="11.375" style="1035" customWidth="1"/>
    <col min="1795" max="1795" width="28.25" style="1035" customWidth="1"/>
    <col min="1796" max="1796" width="12.375" style="1035" customWidth="1"/>
    <col min="1797" max="1797" width="11.25" style="1035" customWidth="1"/>
    <col min="1798" max="1798" width="11.875" style="1035" customWidth="1"/>
    <col min="1799" max="1799" width="11.75" style="1035" customWidth="1"/>
    <col min="1800" max="1800" width="11.875" style="1035" customWidth="1"/>
    <col min="1801" max="1803" width="11.75" style="1035" customWidth="1"/>
    <col min="1804" max="1805" width="10.75" style="1035" customWidth="1"/>
    <col min="1806" max="1806" width="25.25" style="1035" bestFit="1" customWidth="1"/>
    <col min="1807" max="1807" width="16.5" style="1035" bestFit="1" customWidth="1"/>
    <col min="1808" max="2048" width="9" style="1035"/>
    <col min="2049" max="2049" width="5.875" style="1035" customWidth="1"/>
    <col min="2050" max="2050" width="11.375" style="1035" customWidth="1"/>
    <col min="2051" max="2051" width="28.25" style="1035" customWidth="1"/>
    <col min="2052" max="2052" width="12.375" style="1035" customWidth="1"/>
    <col min="2053" max="2053" width="11.25" style="1035" customWidth="1"/>
    <col min="2054" max="2054" width="11.875" style="1035" customWidth="1"/>
    <col min="2055" max="2055" width="11.75" style="1035" customWidth="1"/>
    <col min="2056" max="2056" width="11.875" style="1035" customWidth="1"/>
    <col min="2057" max="2059" width="11.75" style="1035" customWidth="1"/>
    <col min="2060" max="2061" width="10.75" style="1035" customWidth="1"/>
    <col min="2062" max="2062" width="25.25" style="1035" bestFit="1" customWidth="1"/>
    <col min="2063" max="2063" width="16.5" style="1035" bestFit="1" customWidth="1"/>
    <col min="2064" max="2304" width="9" style="1035"/>
    <col min="2305" max="2305" width="5.875" style="1035" customWidth="1"/>
    <col min="2306" max="2306" width="11.375" style="1035" customWidth="1"/>
    <col min="2307" max="2307" width="28.25" style="1035" customWidth="1"/>
    <col min="2308" max="2308" width="12.375" style="1035" customWidth="1"/>
    <col min="2309" max="2309" width="11.25" style="1035" customWidth="1"/>
    <col min="2310" max="2310" width="11.875" style="1035" customWidth="1"/>
    <col min="2311" max="2311" width="11.75" style="1035" customWidth="1"/>
    <col min="2312" max="2312" width="11.875" style="1035" customWidth="1"/>
    <col min="2313" max="2315" width="11.75" style="1035" customWidth="1"/>
    <col min="2316" max="2317" width="10.75" style="1035" customWidth="1"/>
    <col min="2318" max="2318" width="25.25" style="1035" bestFit="1" customWidth="1"/>
    <col min="2319" max="2319" width="16.5" style="1035" bestFit="1" customWidth="1"/>
    <col min="2320" max="2560" width="9" style="1035"/>
    <col min="2561" max="2561" width="5.875" style="1035" customWidth="1"/>
    <col min="2562" max="2562" width="11.375" style="1035" customWidth="1"/>
    <col min="2563" max="2563" width="28.25" style="1035" customWidth="1"/>
    <col min="2564" max="2564" width="12.375" style="1035" customWidth="1"/>
    <col min="2565" max="2565" width="11.25" style="1035" customWidth="1"/>
    <col min="2566" max="2566" width="11.875" style="1035" customWidth="1"/>
    <col min="2567" max="2567" width="11.75" style="1035" customWidth="1"/>
    <col min="2568" max="2568" width="11.875" style="1035" customWidth="1"/>
    <col min="2569" max="2571" width="11.75" style="1035" customWidth="1"/>
    <col min="2572" max="2573" width="10.75" style="1035" customWidth="1"/>
    <col min="2574" max="2574" width="25.25" style="1035" bestFit="1" customWidth="1"/>
    <col min="2575" max="2575" width="16.5" style="1035" bestFit="1" customWidth="1"/>
    <col min="2576" max="2816" width="9" style="1035"/>
    <col min="2817" max="2817" width="5.875" style="1035" customWidth="1"/>
    <col min="2818" max="2818" width="11.375" style="1035" customWidth="1"/>
    <col min="2819" max="2819" width="28.25" style="1035" customWidth="1"/>
    <col min="2820" max="2820" width="12.375" style="1035" customWidth="1"/>
    <col min="2821" max="2821" width="11.25" style="1035" customWidth="1"/>
    <col min="2822" max="2822" width="11.875" style="1035" customWidth="1"/>
    <col min="2823" max="2823" width="11.75" style="1035" customWidth="1"/>
    <col min="2824" max="2824" width="11.875" style="1035" customWidth="1"/>
    <col min="2825" max="2827" width="11.75" style="1035" customWidth="1"/>
    <col min="2828" max="2829" width="10.75" style="1035" customWidth="1"/>
    <col min="2830" max="2830" width="25.25" style="1035" bestFit="1" customWidth="1"/>
    <col min="2831" max="2831" width="16.5" style="1035" bestFit="1" customWidth="1"/>
    <col min="2832" max="3072" width="9" style="1035"/>
    <col min="3073" max="3073" width="5.875" style="1035" customWidth="1"/>
    <col min="3074" max="3074" width="11.375" style="1035" customWidth="1"/>
    <col min="3075" max="3075" width="28.25" style="1035" customWidth="1"/>
    <col min="3076" max="3076" width="12.375" style="1035" customWidth="1"/>
    <col min="3077" max="3077" width="11.25" style="1035" customWidth="1"/>
    <col min="3078" max="3078" width="11.875" style="1035" customWidth="1"/>
    <col min="3079" max="3079" width="11.75" style="1035" customWidth="1"/>
    <col min="3080" max="3080" width="11.875" style="1035" customWidth="1"/>
    <col min="3081" max="3083" width="11.75" style="1035" customWidth="1"/>
    <col min="3084" max="3085" width="10.75" style="1035" customWidth="1"/>
    <col min="3086" max="3086" width="25.25" style="1035" bestFit="1" customWidth="1"/>
    <col min="3087" max="3087" width="16.5" style="1035" bestFit="1" customWidth="1"/>
    <col min="3088" max="3328" width="9" style="1035"/>
    <col min="3329" max="3329" width="5.875" style="1035" customWidth="1"/>
    <col min="3330" max="3330" width="11.375" style="1035" customWidth="1"/>
    <col min="3331" max="3331" width="28.25" style="1035" customWidth="1"/>
    <col min="3332" max="3332" width="12.375" style="1035" customWidth="1"/>
    <col min="3333" max="3333" width="11.25" style="1035" customWidth="1"/>
    <col min="3334" max="3334" width="11.875" style="1035" customWidth="1"/>
    <col min="3335" max="3335" width="11.75" style="1035" customWidth="1"/>
    <col min="3336" max="3336" width="11.875" style="1035" customWidth="1"/>
    <col min="3337" max="3339" width="11.75" style="1035" customWidth="1"/>
    <col min="3340" max="3341" width="10.75" style="1035" customWidth="1"/>
    <col min="3342" max="3342" width="25.25" style="1035" bestFit="1" customWidth="1"/>
    <col min="3343" max="3343" width="16.5" style="1035" bestFit="1" customWidth="1"/>
    <col min="3344" max="3584" width="9" style="1035"/>
    <col min="3585" max="3585" width="5.875" style="1035" customWidth="1"/>
    <col min="3586" max="3586" width="11.375" style="1035" customWidth="1"/>
    <col min="3587" max="3587" width="28.25" style="1035" customWidth="1"/>
    <col min="3588" max="3588" width="12.375" style="1035" customWidth="1"/>
    <col min="3589" max="3589" width="11.25" style="1035" customWidth="1"/>
    <col min="3590" max="3590" width="11.875" style="1035" customWidth="1"/>
    <col min="3591" max="3591" width="11.75" style="1035" customWidth="1"/>
    <col min="3592" max="3592" width="11.875" style="1035" customWidth="1"/>
    <col min="3593" max="3595" width="11.75" style="1035" customWidth="1"/>
    <col min="3596" max="3597" width="10.75" style="1035" customWidth="1"/>
    <col min="3598" max="3598" width="25.25" style="1035" bestFit="1" customWidth="1"/>
    <col min="3599" max="3599" width="16.5" style="1035" bestFit="1" customWidth="1"/>
    <col min="3600" max="3840" width="9" style="1035"/>
    <col min="3841" max="3841" width="5.875" style="1035" customWidth="1"/>
    <col min="3842" max="3842" width="11.375" style="1035" customWidth="1"/>
    <col min="3843" max="3843" width="28.25" style="1035" customWidth="1"/>
    <col min="3844" max="3844" width="12.375" style="1035" customWidth="1"/>
    <col min="3845" max="3845" width="11.25" style="1035" customWidth="1"/>
    <col min="3846" max="3846" width="11.875" style="1035" customWidth="1"/>
    <col min="3847" max="3847" width="11.75" style="1035" customWidth="1"/>
    <col min="3848" max="3848" width="11.875" style="1035" customWidth="1"/>
    <col min="3849" max="3851" width="11.75" style="1035" customWidth="1"/>
    <col min="3852" max="3853" width="10.75" style="1035" customWidth="1"/>
    <col min="3854" max="3854" width="25.25" style="1035" bestFit="1" customWidth="1"/>
    <col min="3855" max="3855" width="16.5" style="1035" bestFit="1" customWidth="1"/>
    <col min="3856" max="4096" width="9" style="1035"/>
    <col min="4097" max="4097" width="5.875" style="1035" customWidth="1"/>
    <col min="4098" max="4098" width="11.375" style="1035" customWidth="1"/>
    <col min="4099" max="4099" width="28.25" style="1035" customWidth="1"/>
    <col min="4100" max="4100" width="12.375" style="1035" customWidth="1"/>
    <col min="4101" max="4101" width="11.25" style="1035" customWidth="1"/>
    <col min="4102" max="4102" width="11.875" style="1035" customWidth="1"/>
    <col min="4103" max="4103" width="11.75" style="1035" customWidth="1"/>
    <col min="4104" max="4104" width="11.875" style="1035" customWidth="1"/>
    <col min="4105" max="4107" width="11.75" style="1035" customWidth="1"/>
    <col min="4108" max="4109" width="10.75" style="1035" customWidth="1"/>
    <col min="4110" max="4110" width="25.25" style="1035" bestFit="1" customWidth="1"/>
    <col min="4111" max="4111" width="16.5" style="1035" bestFit="1" customWidth="1"/>
    <col min="4112" max="4352" width="9" style="1035"/>
    <col min="4353" max="4353" width="5.875" style="1035" customWidth="1"/>
    <col min="4354" max="4354" width="11.375" style="1035" customWidth="1"/>
    <col min="4355" max="4355" width="28.25" style="1035" customWidth="1"/>
    <col min="4356" max="4356" width="12.375" style="1035" customWidth="1"/>
    <col min="4357" max="4357" width="11.25" style="1035" customWidth="1"/>
    <col min="4358" max="4358" width="11.875" style="1035" customWidth="1"/>
    <col min="4359" max="4359" width="11.75" style="1035" customWidth="1"/>
    <col min="4360" max="4360" width="11.875" style="1035" customWidth="1"/>
    <col min="4361" max="4363" width="11.75" style="1035" customWidth="1"/>
    <col min="4364" max="4365" width="10.75" style="1035" customWidth="1"/>
    <col min="4366" max="4366" width="25.25" style="1035" bestFit="1" customWidth="1"/>
    <col min="4367" max="4367" width="16.5" style="1035" bestFit="1" customWidth="1"/>
    <col min="4368" max="4608" width="9" style="1035"/>
    <col min="4609" max="4609" width="5.875" style="1035" customWidth="1"/>
    <col min="4610" max="4610" width="11.375" style="1035" customWidth="1"/>
    <col min="4611" max="4611" width="28.25" style="1035" customWidth="1"/>
    <col min="4612" max="4612" width="12.375" style="1035" customWidth="1"/>
    <col min="4613" max="4613" width="11.25" style="1035" customWidth="1"/>
    <col min="4614" max="4614" width="11.875" style="1035" customWidth="1"/>
    <col min="4615" max="4615" width="11.75" style="1035" customWidth="1"/>
    <col min="4616" max="4616" width="11.875" style="1035" customWidth="1"/>
    <col min="4617" max="4619" width="11.75" style="1035" customWidth="1"/>
    <col min="4620" max="4621" width="10.75" style="1035" customWidth="1"/>
    <col min="4622" max="4622" width="25.25" style="1035" bestFit="1" customWidth="1"/>
    <col min="4623" max="4623" width="16.5" style="1035" bestFit="1" customWidth="1"/>
    <col min="4624" max="4864" width="9" style="1035"/>
    <col min="4865" max="4865" width="5.875" style="1035" customWidth="1"/>
    <col min="4866" max="4866" width="11.375" style="1035" customWidth="1"/>
    <col min="4867" max="4867" width="28.25" style="1035" customWidth="1"/>
    <col min="4868" max="4868" width="12.375" style="1035" customWidth="1"/>
    <col min="4869" max="4869" width="11.25" style="1035" customWidth="1"/>
    <col min="4870" max="4870" width="11.875" style="1035" customWidth="1"/>
    <col min="4871" max="4871" width="11.75" style="1035" customWidth="1"/>
    <col min="4872" max="4872" width="11.875" style="1035" customWidth="1"/>
    <col min="4873" max="4875" width="11.75" style="1035" customWidth="1"/>
    <col min="4876" max="4877" width="10.75" style="1035" customWidth="1"/>
    <col min="4878" max="4878" width="25.25" style="1035" bestFit="1" customWidth="1"/>
    <col min="4879" max="4879" width="16.5" style="1035" bestFit="1" customWidth="1"/>
    <col min="4880" max="5120" width="9" style="1035"/>
    <col min="5121" max="5121" width="5.875" style="1035" customWidth="1"/>
    <col min="5122" max="5122" width="11.375" style="1035" customWidth="1"/>
    <col min="5123" max="5123" width="28.25" style="1035" customWidth="1"/>
    <col min="5124" max="5124" width="12.375" style="1035" customWidth="1"/>
    <col min="5125" max="5125" width="11.25" style="1035" customWidth="1"/>
    <col min="5126" max="5126" width="11.875" style="1035" customWidth="1"/>
    <col min="5127" max="5127" width="11.75" style="1035" customWidth="1"/>
    <col min="5128" max="5128" width="11.875" style="1035" customWidth="1"/>
    <col min="5129" max="5131" width="11.75" style="1035" customWidth="1"/>
    <col min="5132" max="5133" width="10.75" style="1035" customWidth="1"/>
    <col min="5134" max="5134" width="25.25" style="1035" bestFit="1" customWidth="1"/>
    <col min="5135" max="5135" width="16.5" style="1035" bestFit="1" customWidth="1"/>
    <col min="5136" max="5376" width="9" style="1035"/>
    <col min="5377" max="5377" width="5.875" style="1035" customWidth="1"/>
    <col min="5378" max="5378" width="11.375" style="1035" customWidth="1"/>
    <col min="5379" max="5379" width="28.25" style="1035" customWidth="1"/>
    <col min="5380" max="5380" width="12.375" style="1035" customWidth="1"/>
    <col min="5381" max="5381" width="11.25" style="1035" customWidth="1"/>
    <col min="5382" max="5382" width="11.875" style="1035" customWidth="1"/>
    <col min="5383" max="5383" width="11.75" style="1035" customWidth="1"/>
    <col min="5384" max="5384" width="11.875" style="1035" customWidth="1"/>
    <col min="5385" max="5387" width="11.75" style="1035" customWidth="1"/>
    <col min="5388" max="5389" width="10.75" style="1035" customWidth="1"/>
    <col min="5390" max="5390" width="25.25" style="1035" bestFit="1" customWidth="1"/>
    <col min="5391" max="5391" width="16.5" style="1035" bestFit="1" customWidth="1"/>
    <col min="5392" max="5632" width="9" style="1035"/>
    <col min="5633" max="5633" width="5.875" style="1035" customWidth="1"/>
    <col min="5634" max="5634" width="11.375" style="1035" customWidth="1"/>
    <col min="5635" max="5635" width="28.25" style="1035" customWidth="1"/>
    <col min="5636" max="5636" width="12.375" style="1035" customWidth="1"/>
    <col min="5637" max="5637" width="11.25" style="1035" customWidth="1"/>
    <col min="5638" max="5638" width="11.875" style="1035" customWidth="1"/>
    <col min="5639" max="5639" width="11.75" style="1035" customWidth="1"/>
    <col min="5640" max="5640" width="11.875" style="1035" customWidth="1"/>
    <col min="5641" max="5643" width="11.75" style="1035" customWidth="1"/>
    <col min="5644" max="5645" width="10.75" style="1035" customWidth="1"/>
    <col min="5646" max="5646" width="25.25" style="1035" bestFit="1" customWidth="1"/>
    <col min="5647" max="5647" width="16.5" style="1035" bestFit="1" customWidth="1"/>
    <col min="5648" max="5888" width="9" style="1035"/>
    <col min="5889" max="5889" width="5.875" style="1035" customWidth="1"/>
    <col min="5890" max="5890" width="11.375" style="1035" customWidth="1"/>
    <col min="5891" max="5891" width="28.25" style="1035" customWidth="1"/>
    <col min="5892" max="5892" width="12.375" style="1035" customWidth="1"/>
    <col min="5893" max="5893" width="11.25" style="1035" customWidth="1"/>
    <col min="5894" max="5894" width="11.875" style="1035" customWidth="1"/>
    <col min="5895" max="5895" width="11.75" style="1035" customWidth="1"/>
    <col min="5896" max="5896" width="11.875" style="1035" customWidth="1"/>
    <col min="5897" max="5899" width="11.75" style="1035" customWidth="1"/>
    <col min="5900" max="5901" width="10.75" style="1035" customWidth="1"/>
    <col min="5902" max="5902" width="25.25" style="1035" bestFit="1" customWidth="1"/>
    <col min="5903" max="5903" width="16.5" style="1035" bestFit="1" customWidth="1"/>
    <col min="5904" max="6144" width="9" style="1035"/>
    <col min="6145" max="6145" width="5.875" style="1035" customWidth="1"/>
    <col min="6146" max="6146" width="11.375" style="1035" customWidth="1"/>
    <col min="6147" max="6147" width="28.25" style="1035" customWidth="1"/>
    <col min="6148" max="6148" width="12.375" style="1035" customWidth="1"/>
    <col min="6149" max="6149" width="11.25" style="1035" customWidth="1"/>
    <col min="6150" max="6150" width="11.875" style="1035" customWidth="1"/>
    <col min="6151" max="6151" width="11.75" style="1035" customWidth="1"/>
    <col min="6152" max="6152" width="11.875" style="1035" customWidth="1"/>
    <col min="6153" max="6155" width="11.75" style="1035" customWidth="1"/>
    <col min="6156" max="6157" width="10.75" style="1035" customWidth="1"/>
    <col min="6158" max="6158" width="25.25" style="1035" bestFit="1" customWidth="1"/>
    <col min="6159" max="6159" width="16.5" style="1035" bestFit="1" customWidth="1"/>
    <col min="6160" max="6400" width="9" style="1035"/>
    <col min="6401" max="6401" width="5.875" style="1035" customWidth="1"/>
    <col min="6402" max="6402" width="11.375" style="1035" customWidth="1"/>
    <col min="6403" max="6403" width="28.25" style="1035" customWidth="1"/>
    <col min="6404" max="6404" width="12.375" style="1035" customWidth="1"/>
    <col min="6405" max="6405" width="11.25" style="1035" customWidth="1"/>
    <col min="6406" max="6406" width="11.875" style="1035" customWidth="1"/>
    <col min="6407" max="6407" width="11.75" style="1035" customWidth="1"/>
    <col min="6408" max="6408" width="11.875" style="1035" customWidth="1"/>
    <col min="6409" max="6411" width="11.75" style="1035" customWidth="1"/>
    <col min="6412" max="6413" width="10.75" style="1035" customWidth="1"/>
    <col min="6414" max="6414" width="25.25" style="1035" bestFit="1" customWidth="1"/>
    <col min="6415" max="6415" width="16.5" style="1035" bestFit="1" customWidth="1"/>
    <col min="6416" max="6656" width="9" style="1035"/>
    <col min="6657" max="6657" width="5.875" style="1035" customWidth="1"/>
    <col min="6658" max="6658" width="11.375" style="1035" customWidth="1"/>
    <col min="6659" max="6659" width="28.25" style="1035" customWidth="1"/>
    <col min="6660" max="6660" width="12.375" style="1035" customWidth="1"/>
    <col min="6661" max="6661" width="11.25" style="1035" customWidth="1"/>
    <col min="6662" max="6662" width="11.875" style="1035" customWidth="1"/>
    <col min="6663" max="6663" width="11.75" style="1035" customWidth="1"/>
    <col min="6664" max="6664" width="11.875" style="1035" customWidth="1"/>
    <col min="6665" max="6667" width="11.75" style="1035" customWidth="1"/>
    <col min="6668" max="6669" width="10.75" style="1035" customWidth="1"/>
    <col min="6670" max="6670" width="25.25" style="1035" bestFit="1" customWidth="1"/>
    <col min="6671" max="6671" width="16.5" style="1035" bestFit="1" customWidth="1"/>
    <col min="6672" max="6912" width="9" style="1035"/>
    <col min="6913" max="6913" width="5.875" style="1035" customWidth="1"/>
    <col min="6914" max="6914" width="11.375" style="1035" customWidth="1"/>
    <col min="6915" max="6915" width="28.25" style="1035" customWidth="1"/>
    <col min="6916" max="6916" width="12.375" style="1035" customWidth="1"/>
    <col min="6917" max="6917" width="11.25" style="1035" customWidth="1"/>
    <col min="6918" max="6918" width="11.875" style="1035" customWidth="1"/>
    <col min="6919" max="6919" width="11.75" style="1035" customWidth="1"/>
    <col min="6920" max="6920" width="11.875" style="1035" customWidth="1"/>
    <col min="6921" max="6923" width="11.75" style="1035" customWidth="1"/>
    <col min="6924" max="6925" width="10.75" style="1035" customWidth="1"/>
    <col min="6926" max="6926" width="25.25" style="1035" bestFit="1" customWidth="1"/>
    <col min="6927" max="6927" width="16.5" style="1035" bestFit="1" customWidth="1"/>
    <col min="6928" max="7168" width="9" style="1035"/>
    <col min="7169" max="7169" width="5.875" style="1035" customWidth="1"/>
    <col min="7170" max="7170" width="11.375" style="1035" customWidth="1"/>
    <col min="7171" max="7171" width="28.25" style="1035" customWidth="1"/>
    <col min="7172" max="7172" width="12.375" style="1035" customWidth="1"/>
    <col min="7173" max="7173" width="11.25" style="1035" customWidth="1"/>
    <col min="7174" max="7174" width="11.875" style="1035" customWidth="1"/>
    <col min="7175" max="7175" width="11.75" style="1035" customWidth="1"/>
    <col min="7176" max="7176" width="11.875" style="1035" customWidth="1"/>
    <col min="7177" max="7179" width="11.75" style="1035" customWidth="1"/>
    <col min="7180" max="7181" width="10.75" style="1035" customWidth="1"/>
    <col min="7182" max="7182" width="25.25" style="1035" bestFit="1" customWidth="1"/>
    <col min="7183" max="7183" width="16.5" style="1035" bestFit="1" customWidth="1"/>
    <col min="7184" max="7424" width="9" style="1035"/>
    <col min="7425" max="7425" width="5.875" style="1035" customWidth="1"/>
    <col min="7426" max="7426" width="11.375" style="1035" customWidth="1"/>
    <col min="7427" max="7427" width="28.25" style="1035" customWidth="1"/>
    <col min="7428" max="7428" width="12.375" style="1035" customWidth="1"/>
    <col min="7429" max="7429" width="11.25" style="1035" customWidth="1"/>
    <col min="7430" max="7430" width="11.875" style="1035" customWidth="1"/>
    <col min="7431" max="7431" width="11.75" style="1035" customWidth="1"/>
    <col min="7432" max="7432" width="11.875" style="1035" customWidth="1"/>
    <col min="7433" max="7435" width="11.75" style="1035" customWidth="1"/>
    <col min="7436" max="7437" width="10.75" style="1035" customWidth="1"/>
    <col min="7438" max="7438" width="25.25" style="1035" bestFit="1" customWidth="1"/>
    <col min="7439" max="7439" width="16.5" style="1035" bestFit="1" customWidth="1"/>
    <col min="7440" max="7680" width="9" style="1035"/>
    <col min="7681" max="7681" width="5.875" style="1035" customWidth="1"/>
    <col min="7682" max="7682" width="11.375" style="1035" customWidth="1"/>
    <col min="7683" max="7683" width="28.25" style="1035" customWidth="1"/>
    <col min="7684" max="7684" width="12.375" style="1035" customWidth="1"/>
    <col min="7685" max="7685" width="11.25" style="1035" customWidth="1"/>
    <col min="7686" max="7686" width="11.875" style="1035" customWidth="1"/>
    <col min="7687" max="7687" width="11.75" style="1035" customWidth="1"/>
    <col min="7688" max="7688" width="11.875" style="1035" customWidth="1"/>
    <col min="7689" max="7691" width="11.75" style="1035" customWidth="1"/>
    <col min="7692" max="7693" width="10.75" style="1035" customWidth="1"/>
    <col min="7694" max="7694" width="25.25" style="1035" bestFit="1" customWidth="1"/>
    <col min="7695" max="7695" width="16.5" style="1035" bestFit="1" customWidth="1"/>
    <col min="7696" max="7936" width="9" style="1035"/>
    <col min="7937" max="7937" width="5.875" style="1035" customWidth="1"/>
    <col min="7938" max="7938" width="11.375" style="1035" customWidth="1"/>
    <col min="7939" max="7939" width="28.25" style="1035" customWidth="1"/>
    <col min="7940" max="7940" width="12.375" style="1035" customWidth="1"/>
    <col min="7941" max="7941" width="11.25" style="1035" customWidth="1"/>
    <col min="7942" max="7942" width="11.875" style="1035" customWidth="1"/>
    <col min="7943" max="7943" width="11.75" style="1035" customWidth="1"/>
    <col min="7944" max="7944" width="11.875" style="1035" customWidth="1"/>
    <col min="7945" max="7947" width="11.75" style="1035" customWidth="1"/>
    <col min="7948" max="7949" width="10.75" style="1035" customWidth="1"/>
    <col min="7950" max="7950" width="25.25" style="1035" bestFit="1" customWidth="1"/>
    <col min="7951" max="7951" width="16.5" style="1035" bestFit="1" customWidth="1"/>
    <col min="7952" max="8192" width="9" style="1035"/>
    <col min="8193" max="8193" width="5.875" style="1035" customWidth="1"/>
    <col min="8194" max="8194" width="11.375" style="1035" customWidth="1"/>
    <col min="8195" max="8195" width="28.25" style="1035" customWidth="1"/>
    <col min="8196" max="8196" width="12.375" style="1035" customWidth="1"/>
    <col min="8197" max="8197" width="11.25" style="1035" customWidth="1"/>
    <col min="8198" max="8198" width="11.875" style="1035" customWidth="1"/>
    <col min="8199" max="8199" width="11.75" style="1035" customWidth="1"/>
    <col min="8200" max="8200" width="11.875" style="1035" customWidth="1"/>
    <col min="8201" max="8203" width="11.75" style="1035" customWidth="1"/>
    <col min="8204" max="8205" width="10.75" style="1035" customWidth="1"/>
    <col min="8206" max="8206" width="25.25" style="1035" bestFit="1" customWidth="1"/>
    <col min="8207" max="8207" width="16.5" style="1035" bestFit="1" customWidth="1"/>
    <col min="8208" max="8448" width="9" style="1035"/>
    <col min="8449" max="8449" width="5.875" style="1035" customWidth="1"/>
    <col min="8450" max="8450" width="11.375" style="1035" customWidth="1"/>
    <col min="8451" max="8451" width="28.25" style="1035" customWidth="1"/>
    <col min="8452" max="8452" width="12.375" style="1035" customWidth="1"/>
    <col min="8453" max="8453" width="11.25" style="1035" customWidth="1"/>
    <col min="8454" max="8454" width="11.875" style="1035" customWidth="1"/>
    <col min="8455" max="8455" width="11.75" style="1035" customWidth="1"/>
    <col min="8456" max="8456" width="11.875" style="1035" customWidth="1"/>
    <col min="8457" max="8459" width="11.75" style="1035" customWidth="1"/>
    <col min="8460" max="8461" width="10.75" style="1035" customWidth="1"/>
    <col min="8462" max="8462" width="25.25" style="1035" bestFit="1" customWidth="1"/>
    <col min="8463" max="8463" width="16.5" style="1035" bestFit="1" customWidth="1"/>
    <col min="8464" max="8704" width="9" style="1035"/>
    <col min="8705" max="8705" width="5.875" style="1035" customWidth="1"/>
    <col min="8706" max="8706" width="11.375" style="1035" customWidth="1"/>
    <col min="8707" max="8707" width="28.25" style="1035" customWidth="1"/>
    <col min="8708" max="8708" width="12.375" style="1035" customWidth="1"/>
    <col min="8709" max="8709" width="11.25" style="1035" customWidth="1"/>
    <col min="8710" max="8710" width="11.875" style="1035" customWidth="1"/>
    <col min="8711" max="8711" width="11.75" style="1035" customWidth="1"/>
    <col min="8712" max="8712" width="11.875" style="1035" customWidth="1"/>
    <col min="8713" max="8715" width="11.75" style="1035" customWidth="1"/>
    <col min="8716" max="8717" width="10.75" style="1035" customWidth="1"/>
    <col min="8718" max="8718" width="25.25" style="1035" bestFit="1" customWidth="1"/>
    <col min="8719" max="8719" width="16.5" style="1035" bestFit="1" customWidth="1"/>
    <col min="8720" max="8960" width="9" style="1035"/>
    <col min="8961" max="8961" width="5.875" style="1035" customWidth="1"/>
    <col min="8962" max="8962" width="11.375" style="1035" customWidth="1"/>
    <col min="8963" max="8963" width="28.25" style="1035" customWidth="1"/>
    <col min="8964" max="8964" width="12.375" style="1035" customWidth="1"/>
    <col min="8965" max="8965" width="11.25" style="1035" customWidth="1"/>
    <col min="8966" max="8966" width="11.875" style="1035" customWidth="1"/>
    <col min="8967" max="8967" width="11.75" style="1035" customWidth="1"/>
    <col min="8968" max="8968" width="11.875" style="1035" customWidth="1"/>
    <col min="8969" max="8971" width="11.75" style="1035" customWidth="1"/>
    <col min="8972" max="8973" width="10.75" style="1035" customWidth="1"/>
    <col min="8974" max="8974" width="25.25" style="1035" bestFit="1" customWidth="1"/>
    <col min="8975" max="8975" width="16.5" style="1035" bestFit="1" customWidth="1"/>
    <col min="8976" max="9216" width="9" style="1035"/>
    <col min="9217" max="9217" width="5.875" style="1035" customWidth="1"/>
    <col min="9218" max="9218" width="11.375" style="1035" customWidth="1"/>
    <col min="9219" max="9219" width="28.25" style="1035" customWidth="1"/>
    <col min="9220" max="9220" width="12.375" style="1035" customWidth="1"/>
    <col min="9221" max="9221" width="11.25" style="1035" customWidth="1"/>
    <col min="9222" max="9222" width="11.875" style="1035" customWidth="1"/>
    <col min="9223" max="9223" width="11.75" style="1035" customWidth="1"/>
    <col min="9224" max="9224" width="11.875" style="1035" customWidth="1"/>
    <col min="9225" max="9227" width="11.75" style="1035" customWidth="1"/>
    <col min="9228" max="9229" width="10.75" style="1035" customWidth="1"/>
    <col min="9230" max="9230" width="25.25" style="1035" bestFit="1" customWidth="1"/>
    <col min="9231" max="9231" width="16.5" style="1035" bestFit="1" customWidth="1"/>
    <col min="9232" max="9472" width="9" style="1035"/>
    <col min="9473" max="9473" width="5.875" style="1035" customWidth="1"/>
    <col min="9474" max="9474" width="11.375" style="1035" customWidth="1"/>
    <col min="9475" max="9475" width="28.25" style="1035" customWidth="1"/>
    <col min="9476" max="9476" width="12.375" style="1035" customWidth="1"/>
    <col min="9477" max="9477" width="11.25" style="1035" customWidth="1"/>
    <col min="9478" max="9478" width="11.875" style="1035" customWidth="1"/>
    <col min="9479" max="9479" width="11.75" style="1035" customWidth="1"/>
    <col min="9480" max="9480" width="11.875" style="1035" customWidth="1"/>
    <col min="9481" max="9483" width="11.75" style="1035" customWidth="1"/>
    <col min="9484" max="9485" width="10.75" style="1035" customWidth="1"/>
    <col min="9486" max="9486" width="25.25" style="1035" bestFit="1" customWidth="1"/>
    <col min="9487" max="9487" width="16.5" style="1035" bestFit="1" customWidth="1"/>
    <col min="9488" max="9728" width="9" style="1035"/>
    <col min="9729" max="9729" width="5.875" style="1035" customWidth="1"/>
    <col min="9730" max="9730" width="11.375" style="1035" customWidth="1"/>
    <col min="9731" max="9731" width="28.25" style="1035" customWidth="1"/>
    <col min="9732" max="9732" width="12.375" style="1035" customWidth="1"/>
    <col min="9733" max="9733" width="11.25" style="1035" customWidth="1"/>
    <col min="9734" max="9734" width="11.875" style="1035" customWidth="1"/>
    <col min="9735" max="9735" width="11.75" style="1035" customWidth="1"/>
    <col min="9736" max="9736" width="11.875" style="1035" customWidth="1"/>
    <col min="9737" max="9739" width="11.75" style="1035" customWidth="1"/>
    <col min="9740" max="9741" width="10.75" style="1035" customWidth="1"/>
    <col min="9742" max="9742" width="25.25" style="1035" bestFit="1" customWidth="1"/>
    <col min="9743" max="9743" width="16.5" style="1035" bestFit="1" customWidth="1"/>
    <col min="9744" max="9984" width="9" style="1035"/>
    <col min="9985" max="9985" width="5.875" style="1035" customWidth="1"/>
    <col min="9986" max="9986" width="11.375" style="1035" customWidth="1"/>
    <col min="9987" max="9987" width="28.25" style="1035" customWidth="1"/>
    <col min="9988" max="9988" width="12.375" style="1035" customWidth="1"/>
    <col min="9989" max="9989" width="11.25" style="1035" customWidth="1"/>
    <col min="9990" max="9990" width="11.875" style="1035" customWidth="1"/>
    <col min="9991" max="9991" width="11.75" style="1035" customWidth="1"/>
    <col min="9992" max="9992" width="11.875" style="1035" customWidth="1"/>
    <col min="9993" max="9995" width="11.75" style="1035" customWidth="1"/>
    <col min="9996" max="9997" width="10.75" style="1035" customWidth="1"/>
    <col min="9998" max="9998" width="25.25" style="1035" bestFit="1" customWidth="1"/>
    <col min="9999" max="9999" width="16.5" style="1035" bestFit="1" customWidth="1"/>
    <col min="10000" max="10240" width="9" style="1035"/>
    <col min="10241" max="10241" width="5.875" style="1035" customWidth="1"/>
    <col min="10242" max="10242" width="11.375" style="1035" customWidth="1"/>
    <col min="10243" max="10243" width="28.25" style="1035" customWidth="1"/>
    <col min="10244" max="10244" width="12.375" style="1035" customWidth="1"/>
    <col min="10245" max="10245" width="11.25" style="1035" customWidth="1"/>
    <col min="10246" max="10246" width="11.875" style="1035" customWidth="1"/>
    <col min="10247" max="10247" width="11.75" style="1035" customWidth="1"/>
    <col min="10248" max="10248" width="11.875" style="1035" customWidth="1"/>
    <col min="10249" max="10251" width="11.75" style="1035" customWidth="1"/>
    <col min="10252" max="10253" width="10.75" style="1035" customWidth="1"/>
    <col min="10254" max="10254" width="25.25" style="1035" bestFit="1" customWidth="1"/>
    <col min="10255" max="10255" width="16.5" style="1035" bestFit="1" customWidth="1"/>
    <col min="10256" max="10496" width="9" style="1035"/>
    <col min="10497" max="10497" width="5.875" style="1035" customWidth="1"/>
    <col min="10498" max="10498" width="11.375" style="1035" customWidth="1"/>
    <col min="10499" max="10499" width="28.25" style="1035" customWidth="1"/>
    <col min="10500" max="10500" width="12.375" style="1035" customWidth="1"/>
    <col min="10501" max="10501" width="11.25" style="1035" customWidth="1"/>
    <col min="10502" max="10502" width="11.875" style="1035" customWidth="1"/>
    <col min="10503" max="10503" width="11.75" style="1035" customWidth="1"/>
    <col min="10504" max="10504" width="11.875" style="1035" customWidth="1"/>
    <col min="10505" max="10507" width="11.75" style="1035" customWidth="1"/>
    <col min="10508" max="10509" width="10.75" style="1035" customWidth="1"/>
    <col min="10510" max="10510" width="25.25" style="1035" bestFit="1" customWidth="1"/>
    <col min="10511" max="10511" width="16.5" style="1035" bestFit="1" customWidth="1"/>
    <col min="10512" max="10752" width="9" style="1035"/>
    <col min="10753" max="10753" width="5.875" style="1035" customWidth="1"/>
    <col min="10754" max="10754" width="11.375" style="1035" customWidth="1"/>
    <col min="10755" max="10755" width="28.25" style="1035" customWidth="1"/>
    <col min="10756" max="10756" width="12.375" style="1035" customWidth="1"/>
    <col min="10757" max="10757" width="11.25" style="1035" customWidth="1"/>
    <col min="10758" max="10758" width="11.875" style="1035" customWidth="1"/>
    <col min="10759" max="10759" width="11.75" style="1035" customWidth="1"/>
    <col min="10760" max="10760" width="11.875" style="1035" customWidth="1"/>
    <col min="10761" max="10763" width="11.75" style="1035" customWidth="1"/>
    <col min="10764" max="10765" width="10.75" style="1035" customWidth="1"/>
    <col min="10766" max="10766" width="25.25" style="1035" bestFit="1" customWidth="1"/>
    <col min="10767" max="10767" width="16.5" style="1035" bestFit="1" customWidth="1"/>
    <col min="10768" max="11008" width="9" style="1035"/>
    <col min="11009" max="11009" width="5.875" style="1035" customWidth="1"/>
    <col min="11010" max="11010" width="11.375" style="1035" customWidth="1"/>
    <col min="11011" max="11011" width="28.25" style="1035" customWidth="1"/>
    <col min="11012" max="11012" width="12.375" style="1035" customWidth="1"/>
    <col min="11013" max="11013" width="11.25" style="1035" customWidth="1"/>
    <col min="11014" max="11014" width="11.875" style="1035" customWidth="1"/>
    <col min="11015" max="11015" width="11.75" style="1035" customWidth="1"/>
    <col min="11016" max="11016" width="11.875" style="1035" customWidth="1"/>
    <col min="11017" max="11019" width="11.75" style="1035" customWidth="1"/>
    <col min="11020" max="11021" width="10.75" style="1035" customWidth="1"/>
    <col min="11022" max="11022" width="25.25" style="1035" bestFit="1" customWidth="1"/>
    <col min="11023" max="11023" width="16.5" style="1035" bestFit="1" customWidth="1"/>
    <col min="11024" max="11264" width="9" style="1035"/>
    <col min="11265" max="11265" width="5.875" style="1035" customWidth="1"/>
    <col min="11266" max="11266" width="11.375" style="1035" customWidth="1"/>
    <col min="11267" max="11267" width="28.25" style="1035" customWidth="1"/>
    <col min="11268" max="11268" width="12.375" style="1035" customWidth="1"/>
    <col min="11269" max="11269" width="11.25" style="1035" customWidth="1"/>
    <col min="11270" max="11270" width="11.875" style="1035" customWidth="1"/>
    <col min="11271" max="11271" width="11.75" style="1035" customWidth="1"/>
    <col min="11272" max="11272" width="11.875" style="1035" customWidth="1"/>
    <col min="11273" max="11275" width="11.75" style="1035" customWidth="1"/>
    <col min="11276" max="11277" width="10.75" style="1035" customWidth="1"/>
    <col min="11278" max="11278" width="25.25" style="1035" bestFit="1" customWidth="1"/>
    <col min="11279" max="11279" width="16.5" style="1035" bestFit="1" customWidth="1"/>
    <col min="11280" max="11520" width="9" style="1035"/>
    <col min="11521" max="11521" width="5.875" style="1035" customWidth="1"/>
    <col min="11522" max="11522" width="11.375" style="1035" customWidth="1"/>
    <col min="11523" max="11523" width="28.25" style="1035" customWidth="1"/>
    <col min="11524" max="11524" width="12.375" style="1035" customWidth="1"/>
    <col min="11525" max="11525" width="11.25" style="1035" customWidth="1"/>
    <col min="11526" max="11526" width="11.875" style="1035" customWidth="1"/>
    <col min="11527" max="11527" width="11.75" style="1035" customWidth="1"/>
    <col min="11528" max="11528" width="11.875" style="1035" customWidth="1"/>
    <col min="11529" max="11531" width="11.75" style="1035" customWidth="1"/>
    <col min="11532" max="11533" width="10.75" style="1035" customWidth="1"/>
    <col min="11534" max="11534" width="25.25" style="1035" bestFit="1" customWidth="1"/>
    <col min="11535" max="11535" width="16.5" style="1035" bestFit="1" customWidth="1"/>
    <col min="11536" max="11776" width="9" style="1035"/>
    <col min="11777" max="11777" width="5.875" style="1035" customWidth="1"/>
    <col min="11778" max="11778" width="11.375" style="1035" customWidth="1"/>
    <col min="11779" max="11779" width="28.25" style="1035" customWidth="1"/>
    <col min="11780" max="11780" width="12.375" style="1035" customWidth="1"/>
    <col min="11781" max="11781" width="11.25" style="1035" customWidth="1"/>
    <col min="11782" max="11782" width="11.875" style="1035" customWidth="1"/>
    <col min="11783" max="11783" width="11.75" style="1035" customWidth="1"/>
    <col min="11784" max="11784" width="11.875" style="1035" customWidth="1"/>
    <col min="11785" max="11787" width="11.75" style="1035" customWidth="1"/>
    <col min="11788" max="11789" width="10.75" style="1035" customWidth="1"/>
    <col min="11790" max="11790" width="25.25" style="1035" bestFit="1" customWidth="1"/>
    <col min="11791" max="11791" width="16.5" style="1035" bestFit="1" customWidth="1"/>
    <col min="11792" max="12032" width="9" style="1035"/>
    <col min="12033" max="12033" width="5.875" style="1035" customWidth="1"/>
    <col min="12034" max="12034" width="11.375" style="1035" customWidth="1"/>
    <col min="12035" max="12035" width="28.25" style="1035" customWidth="1"/>
    <col min="12036" max="12036" width="12.375" style="1035" customWidth="1"/>
    <col min="12037" max="12037" width="11.25" style="1035" customWidth="1"/>
    <col min="12038" max="12038" width="11.875" style="1035" customWidth="1"/>
    <col min="12039" max="12039" width="11.75" style="1035" customWidth="1"/>
    <col min="12040" max="12040" width="11.875" style="1035" customWidth="1"/>
    <col min="12041" max="12043" width="11.75" style="1035" customWidth="1"/>
    <col min="12044" max="12045" width="10.75" style="1035" customWidth="1"/>
    <col min="12046" max="12046" width="25.25" style="1035" bestFit="1" customWidth="1"/>
    <col min="12047" max="12047" width="16.5" style="1035" bestFit="1" customWidth="1"/>
    <col min="12048" max="12288" width="9" style="1035"/>
    <col min="12289" max="12289" width="5.875" style="1035" customWidth="1"/>
    <col min="12290" max="12290" width="11.375" style="1035" customWidth="1"/>
    <col min="12291" max="12291" width="28.25" style="1035" customWidth="1"/>
    <col min="12292" max="12292" width="12.375" style="1035" customWidth="1"/>
    <col min="12293" max="12293" width="11.25" style="1035" customWidth="1"/>
    <col min="12294" max="12294" width="11.875" style="1035" customWidth="1"/>
    <col min="12295" max="12295" width="11.75" style="1035" customWidth="1"/>
    <col min="12296" max="12296" width="11.875" style="1035" customWidth="1"/>
    <col min="12297" max="12299" width="11.75" style="1035" customWidth="1"/>
    <col min="12300" max="12301" width="10.75" style="1035" customWidth="1"/>
    <col min="12302" max="12302" width="25.25" style="1035" bestFit="1" customWidth="1"/>
    <col min="12303" max="12303" width="16.5" style="1035" bestFit="1" customWidth="1"/>
    <col min="12304" max="12544" width="9" style="1035"/>
    <col min="12545" max="12545" width="5.875" style="1035" customWidth="1"/>
    <col min="12546" max="12546" width="11.375" style="1035" customWidth="1"/>
    <col min="12547" max="12547" width="28.25" style="1035" customWidth="1"/>
    <col min="12548" max="12548" width="12.375" style="1035" customWidth="1"/>
    <col min="12549" max="12549" width="11.25" style="1035" customWidth="1"/>
    <col min="12550" max="12550" width="11.875" style="1035" customWidth="1"/>
    <col min="12551" max="12551" width="11.75" style="1035" customWidth="1"/>
    <col min="12552" max="12552" width="11.875" style="1035" customWidth="1"/>
    <col min="12553" max="12555" width="11.75" style="1035" customWidth="1"/>
    <col min="12556" max="12557" width="10.75" style="1035" customWidth="1"/>
    <col min="12558" max="12558" width="25.25" style="1035" bestFit="1" customWidth="1"/>
    <col min="12559" max="12559" width="16.5" style="1035" bestFit="1" customWidth="1"/>
    <col min="12560" max="12800" width="9" style="1035"/>
    <col min="12801" max="12801" width="5.875" style="1035" customWidth="1"/>
    <col min="12802" max="12802" width="11.375" style="1035" customWidth="1"/>
    <col min="12803" max="12803" width="28.25" style="1035" customWidth="1"/>
    <col min="12804" max="12804" width="12.375" style="1035" customWidth="1"/>
    <col min="12805" max="12805" width="11.25" style="1035" customWidth="1"/>
    <col min="12806" max="12806" width="11.875" style="1035" customWidth="1"/>
    <col min="12807" max="12807" width="11.75" style="1035" customWidth="1"/>
    <col min="12808" max="12808" width="11.875" style="1035" customWidth="1"/>
    <col min="12809" max="12811" width="11.75" style="1035" customWidth="1"/>
    <col min="12812" max="12813" width="10.75" style="1035" customWidth="1"/>
    <col min="12814" max="12814" width="25.25" style="1035" bestFit="1" customWidth="1"/>
    <col min="12815" max="12815" width="16.5" style="1035" bestFit="1" customWidth="1"/>
    <col min="12816" max="13056" width="9" style="1035"/>
    <col min="13057" max="13057" width="5.875" style="1035" customWidth="1"/>
    <col min="13058" max="13058" width="11.375" style="1035" customWidth="1"/>
    <col min="13059" max="13059" width="28.25" style="1035" customWidth="1"/>
    <col min="13060" max="13060" width="12.375" style="1035" customWidth="1"/>
    <col min="13061" max="13061" width="11.25" style="1035" customWidth="1"/>
    <col min="13062" max="13062" width="11.875" style="1035" customWidth="1"/>
    <col min="13063" max="13063" width="11.75" style="1035" customWidth="1"/>
    <col min="13064" max="13064" width="11.875" style="1035" customWidth="1"/>
    <col min="13065" max="13067" width="11.75" style="1035" customWidth="1"/>
    <col min="13068" max="13069" width="10.75" style="1035" customWidth="1"/>
    <col min="13070" max="13070" width="25.25" style="1035" bestFit="1" customWidth="1"/>
    <col min="13071" max="13071" width="16.5" style="1035" bestFit="1" customWidth="1"/>
    <col min="13072" max="13312" width="9" style="1035"/>
    <col min="13313" max="13313" width="5.875" style="1035" customWidth="1"/>
    <col min="13314" max="13314" width="11.375" style="1035" customWidth="1"/>
    <col min="13315" max="13315" width="28.25" style="1035" customWidth="1"/>
    <col min="13316" max="13316" width="12.375" style="1035" customWidth="1"/>
    <col min="13317" max="13317" width="11.25" style="1035" customWidth="1"/>
    <col min="13318" max="13318" width="11.875" style="1035" customWidth="1"/>
    <col min="13319" max="13319" width="11.75" style="1035" customWidth="1"/>
    <col min="13320" max="13320" width="11.875" style="1035" customWidth="1"/>
    <col min="13321" max="13323" width="11.75" style="1035" customWidth="1"/>
    <col min="13324" max="13325" width="10.75" style="1035" customWidth="1"/>
    <col min="13326" max="13326" width="25.25" style="1035" bestFit="1" customWidth="1"/>
    <col min="13327" max="13327" width="16.5" style="1035" bestFit="1" customWidth="1"/>
    <col min="13328" max="13568" width="9" style="1035"/>
    <col min="13569" max="13569" width="5.875" style="1035" customWidth="1"/>
    <col min="13570" max="13570" width="11.375" style="1035" customWidth="1"/>
    <col min="13571" max="13571" width="28.25" style="1035" customWidth="1"/>
    <col min="13572" max="13572" width="12.375" style="1035" customWidth="1"/>
    <col min="13573" max="13573" width="11.25" style="1035" customWidth="1"/>
    <col min="13574" max="13574" width="11.875" style="1035" customWidth="1"/>
    <col min="13575" max="13575" width="11.75" style="1035" customWidth="1"/>
    <col min="13576" max="13576" width="11.875" style="1035" customWidth="1"/>
    <col min="13577" max="13579" width="11.75" style="1035" customWidth="1"/>
    <col min="13580" max="13581" width="10.75" style="1035" customWidth="1"/>
    <col min="13582" max="13582" width="25.25" style="1035" bestFit="1" customWidth="1"/>
    <col min="13583" max="13583" width="16.5" style="1035" bestFit="1" customWidth="1"/>
    <col min="13584" max="13824" width="9" style="1035"/>
    <col min="13825" max="13825" width="5.875" style="1035" customWidth="1"/>
    <col min="13826" max="13826" width="11.375" style="1035" customWidth="1"/>
    <col min="13827" max="13827" width="28.25" style="1035" customWidth="1"/>
    <col min="13828" max="13828" width="12.375" style="1035" customWidth="1"/>
    <col min="13829" max="13829" width="11.25" style="1035" customWidth="1"/>
    <col min="13830" max="13830" width="11.875" style="1035" customWidth="1"/>
    <col min="13831" max="13831" width="11.75" style="1035" customWidth="1"/>
    <col min="13832" max="13832" width="11.875" style="1035" customWidth="1"/>
    <col min="13833" max="13835" width="11.75" style="1035" customWidth="1"/>
    <col min="13836" max="13837" width="10.75" style="1035" customWidth="1"/>
    <col min="13838" max="13838" width="25.25" style="1035" bestFit="1" customWidth="1"/>
    <col min="13839" max="13839" width="16.5" style="1035" bestFit="1" customWidth="1"/>
    <col min="13840" max="14080" width="9" style="1035"/>
    <col min="14081" max="14081" width="5.875" style="1035" customWidth="1"/>
    <col min="14082" max="14082" width="11.375" style="1035" customWidth="1"/>
    <col min="14083" max="14083" width="28.25" style="1035" customWidth="1"/>
    <col min="14084" max="14084" width="12.375" style="1035" customWidth="1"/>
    <col min="14085" max="14085" width="11.25" style="1035" customWidth="1"/>
    <col min="14086" max="14086" width="11.875" style="1035" customWidth="1"/>
    <col min="14087" max="14087" width="11.75" style="1035" customWidth="1"/>
    <col min="14088" max="14088" width="11.875" style="1035" customWidth="1"/>
    <col min="14089" max="14091" width="11.75" style="1035" customWidth="1"/>
    <col min="14092" max="14093" width="10.75" style="1035" customWidth="1"/>
    <col min="14094" max="14094" width="25.25" style="1035" bestFit="1" customWidth="1"/>
    <col min="14095" max="14095" width="16.5" style="1035" bestFit="1" customWidth="1"/>
    <col min="14096" max="14336" width="9" style="1035"/>
    <col min="14337" max="14337" width="5.875" style="1035" customWidth="1"/>
    <col min="14338" max="14338" width="11.375" style="1035" customWidth="1"/>
    <col min="14339" max="14339" width="28.25" style="1035" customWidth="1"/>
    <col min="14340" max="14340" width="12.375" style="1035" customWidth="1"/>
    <col min="14341" max="14341" width="11.25" style="1035" customWidth="1"/>
    <col min="14342" max="14342" width="11.875" style="1035" customWidth="1"/>
    <col min="14343" max="14343" width="11.75" style="1035" customWidth="1"/>
    <col min="14344" max="14344" width="11.875" style="1035" customWidth="1"/>
    <col min="14345" max="14347" width="11.75" style="1035" customWidth="1"/>
    <col min="14348" max="14349" width="10.75" style="1035" customWidth="1"/>
    <col min="14350" max="14350" width="25.25" style="1035" bestFit="1" customWidth="1"/>
    <col min="14351" max="14351" width="16.5" style="1035" bestFit="1" customWidth="1"/>
    <col min="14352" max="14592" width="9" style="1035"/>
    <col min="14593" max="14593" width="5.875" style="1035" customWidth="1"/>
    <col min="14594" max="14594" width="11.375" style="1035" customWidth="1"/>
    <col min="14595" max="14595" width="28.25" style="1035" customWidth="1"/>
    <col min="14596" max="14596" width="12.375" style="1035" customWidth="1"/>
    <col min="14597" max="14597" width="11.25" style="1035" customWidth="1"/>
    <col min="14598" max="14598" width="11.875" style="1035" customWidth="1"/>
    <col min="14599" max="14599" width="11.75" style="1035" customWidth="1"/>
    <col min="14600" max="14600" width="11.875" style="1035" customWidth="1"/>
    <col min="14601" max="14603" width="11.75" style="1035" customWidth="1"/>
    <col min="14604" max="14605" width="10.75" style="1035" customWidth="1"/>
    <col min="14606" max="14606" width="25.25" style="1035" bestFit="1" customWidth="1"/>
    <col min="14607" max="14607" width="16.5" style="1035" bestFit="1" customWidth="1"/>
    <col min="14608" max="14848" width="9" style="1035"/>
    <col min="14849" max="14849" width="5.875" style="1035" customWidth="1"/>
    <col min="14850" max="14850" width="11.375" style="1035" customWidth="1"/>
    <col min="14851" max="14851" width="28.25" style="1035" customWidth="1"/>
    <col min="14852" max="14852" width="12.375" style="1035" customWidth="1"/>
    <col min="14853" max="14853" width="11.25" style="1035" customWidth="1"/>
    <col min="14854" max="14854" width="11.875" style="1035" customWidth="1"/>
    <col min="14855" max="14855" width="11.75" style="1035" customWidth="1"/>
    <col min="14856" max="14856" width="11.875" style="1035" customWidth="1"/>
    <col min="14857" max="14859" width="11.75" style="1035" customWidth="1"/>
    <col min="14860" max="14861" width="10.75" style="1035" customWidth="1"/>
    <col min="14862" max="14862" width="25.25" style="1035" bestFit="1" customWidth="1"/>
    <col min="14863" max="14863" width="16.5" style="1035" bestFit="1" customWidth="1"/>
    <col min="14864" max="15104" width="9" style="1035"/>
    <col min="15105" max="15105" width="5.875" style="1035" customWidth="1"/>
    <col min="15106" max="15106" width="11.375" style="1035" customWidth="1"/>
    <col min="15107" max="15107" width="28.25" style="1035" customWidth="1"/>
    <col min="15108" max="15108" width="12.375" style="1035" customWidth="1"/>
    <col min="15109" max="15109" width="11.25" style="1035" customWidth="1"/>
    <col min="15110" max="15110" width="11.875" style="1035" customWidth="1"/>
    <col min="15111" max="15111" width="11.75" style="1035" customWidth="1"/>
    <col min="15112" max="15112" width="11.875" style="1035" customWidth="1"/>
    <col min="15113" max="15115" width="11.75" style="1035" customWidth="1"/>
    <col min="15116" max="15117" width="10.75" style="1035" customWidth="1"/>
    <col min="15118" max="15118" width="25.25" style="1035" bestFit="1" customWidth="1"/>
    <col min="15119" max="15119" width="16.5" style="1035" bestFit="1" customWidth="1"/>
    <col min="15120" max="15360" width="9" style="1035"/>
    <col min="15361" max="15361" width="5.875" style="1035" customWidth="1"/>
    <col min="15362" max="15362" width="11.375" style="1035" customWidth="1"/>
    <col min="15363" max="15363" width="28.25" style="1035" customWidth="1"/>
    <col min="15364" max="15364" width="12.375" style="1035" customWidth="1"/>
    <col min="15365" max="15365" width="11.25" style="1035" customWidth="1"/>
    <col min="15366" max="15366" width="11.875" style="1035" customWidth="1"/>
    <col min="15367" max="15367" width="11.75" style="1035" customWidth="1"/>
    <col min="15368" max="15368" width="11.875" style="1035" customWidth="1"/>
    <col min="15369" max="15371" width="11.75" style="1035" customWidth="1"/>
    <col min="15372" max="15373" width="10.75" style="1035" customWidth="1"/>
    <col min="15374" max="15374" width="25.25" style="1035" bestFit="1" customWidth="1"/>
    <col min="15375" max="15375" width="16.5" style="1035" bestFit="1" customWidth="1"/>
    <col min="15376" max="15616" width="9" style="1035"/>
    <col min="15617" max="15617" width="5.875" style="1035" customWidth="1"/>
    <col min="15618" max="15618" width="11.375" style="1035" customWidth="1"/>
    <col min="15619" max="15619" width="28.25" style="1035" customWidth="1"/>
    <col min="15620" max="15620" width="12.375" style="1035" customWidth="1"/>
    <col min="15621" max="15621" width="11.25" style="1035" customWidth="1"/>
    <col min="15622" max="15622" width="11.875" style="1035" customWidth="1"/>
    <col min="15623" max="15623" width="11.75" style="1035" customWidth="1"/>
    <col min="15624" max="15624" width="11.875" style="1035" customWidth="1"/>
    <col min="15625" max="15627" width="11.75" style="1035" customWidth="1"/>
    <col min="15628" max="15629" width="10.75" style="1035" customWidth="1"/>
    <col min="15630" max="15630" width="25.25" style="1035" bestFit="1" customWidth="1"/>
    <col min="15631" max="15631" width="16.5" style="1035" bestFit="1" customWidth="1"/>
    <col min="15632" max="15872" width="9" style="1035"/>
    <col min="15873" max="15873" width="5.875" style="1035" customWidth="1"/>
    <col min="15874" max="15874" width="11.375" style="1035" customWidth="1"/>
    <col min="15875" max="15875" width="28.25" style="1035" customWidth="1"/>
    <col min="15876" max="15876" width="12.375" style="1035" customWidth="1"/>
    <col min="15877" max="15877" width="11.25" style="1035" customWidth="1"/>
    <col min="15878" max="15878" width="11.875" style="1035" customWidth="1"/>
    <col min="15879" max="15879" width="11.75" style="1035" customWidth="1"/>
    <col min="15880" max="15880" width="11.875" style="1035" customWidth="1"/>
    <col min="15881" max="15883" width="11.75" style="1035" customWidth="1"/>
    <col min="15884" max="15885" width="10.75" style="1035" customWidth="1"/>
    <col min="15886" max="15886" width="25.25" style="1035" bestFit="1" customWidth="1"/>
    <col min="15887" max="15887" width="16.5" style="1035" bestFit="1" customWidth="1"/>
    <col min="15888" max="16128" width="9" style="1035"/>
    <col min="16129" max="16129" width="5.875" style="1035" customWidth="1"/>
    <col min="16130" max="16130" width="11.375" style="1035" customWidth="1"/>
    <col min="16131" max="16131" width="28.25" style="1035" customWidth="1"/>
    <col min="16132" max="16132" width="12.375" style="1035" customWidth="1"/>
    <col min="16133" max="16133" width="11.25" style="1035" customWidth="1"/>
    <col min="16134" max="16134" width="11.875" style="1035" customWidth="1"/>
    <col min="16135" max="16135" width="11.75" style="1035" customWidth="1"/>
    <col min="16136" max="16136" width="11.875" style="1035" customWidth="1"/>
    <col min="16137" max="16139" width="11.75" style="1035" customWidth="1"/>
    <col min="16140" max="16141" width="10.75" style="1035" customWidth="1"/>
    <col min="16142" max="16142" width="25.25" style="1035" bestFit="1" customWidth="1"/>
    <col min="16143" max="16143" width="16.5" style="1035" bestFit="1" customWidth="1"/>
    <col min="16144" max="16384" width="9" style="1035"/>
  </cols>
  <sheetData>
    <row r="2" spans="2:27" s="682" customFormat="1" ht="20.25" x14ac:dyDescent="0.3">
      <c r="B2" s="681" t="s">
        <v>574</v>
      </c>
      <c r="D2" s="683"/>
      <c r="F2" s="684"/>
      <c r="G2" s="684"/>
      <c r="H2" s="684"/>
      <c r="S2" s="685"/>
      <c r="T2" s="685"/>
      <c r="U2" s="685"/>
      <c r="V2" s="686"/>
      <c r="W2" s="685"/>
      <c r="X2" s="685"/>
      <c r="Y2" s="685"/>
      <c r="Z2" s="685"/>
      <c r="AA2" s="685"/>
    </row>
    <row r="3" spans="2:27" s="682" customFormat="1" ht="18" x14ac:dyDescent="0.25">
      <c r="B3" s="687" t="s">
        <v>1201</v>
      </c>
      <c r="D3" s="683"/>
      <c r="F3" s="684"/>
      <c r="G3" s="684"/>
      <c r="H3" s="684"/>
      <c r="S3" s="685"/>
      <c r="T3" s="685"/>
      <c r="U3" s="685"/>
      <c r="V3" s="686"/>
      <c r="W3" s="685"/>
      <c r="X3" s="685"/>
      <c r="Y3" s="685"/>
      <c r="Z3" s="685"/>
      <c r="AA3" s="685"/>
    </row>
    <row r="4" spans="2:27" s="682" customFormat="1" ht="18" x14ac:dyDescent="0.25">
      <c r="B4" s="687"/>
      <c r="D4" s="683"/>
      <c r="F4" s="684"/>
      <c r="G4" s="684"/>
      <c r="H4" s="684"/>
      <c r="S4" s="685"/>
      <c r="T4" s="685"/>
      <c r="U4" s="685"/>
      <c r="V4" s="686"/>
      <c r="W4" s="685"/>
      <c r="X4" s="685"/>
      <c r="Y4" s="685"/>
      <c r="Z4" s="685"/>
      <c r="AA4" s="685"/>
    </row>
    <row r="5" spans="2:27" s="682" customFormat="1" ht="18" x14ac:dyDescent="0.25">
      <c r="B5" s="3115" t="s">
        <v>575</v>
      </c>
      <c r="C5" s="3116"/>
      <c r="D5" s="3116"/>
      <c r="E5" s="3116"/>
      <c r="F5" s="3116"/>
      <c r="G5" s="3116"/>
      <c r="H5" s="3116"/>
      <c r="I5" s="3117"/>
      <c r="S5" s="685"/>
      <c r="T5" s="685"/>
      <c r="U5" s="685"/>
      <c r="V5" s="685"/>
      <c r="W5" s="686"/>
      <c r="X5" s="685"/>
      <c r="Y5" s="685"/>
      <c r="Z5" s="685"/>
      <c r="AA5" s="685"/>
    </row>
    <row r="6" spans="2:27" s="682" customFormat="1" ht="30" x14ac:dyDescent="0.2">
      <c r="B6" s="688" t="s">
        <v>424</v>
      </c>
      <c r="C6" s="3118" t="s">
        <v>425</v>
      </c>
      <c r="D6" s="3119"/>
      <c r="E6" s="3119"/>
      <c r="F6" s="3119"/>
      <c r="G6" s="689"/>
      <c r="H6" s="690" t="s">
        <v>426</v>
      </c>
      <c r="I6" s="691" t="s">
        <v>282</v>
      </c>
      <c r="S6" s="685"/>
      <c r="T6" s="685"/>
      <c r="U6" s="685"/>
      <c r="V6" s="685"/>
      <c r="W6" s="686"/>
      <c r="X6" s="685"/>
      <c r="Y6" s="685"/>
      <c r="Z6" s="685"/>
      <c r="AA6" s="685"/>
    </row>
    <row r="7" spans="2:27" s="682" customFormat="1" ht="32.25" customHeight="1" x14ac:dyDescent="0.2">
      <c r="B7" s="692">
        <v>1</v>
      </c>
      <c r="C7" s="3120" t="s">
        <v>1202</v>
      </c>
      <c r="D7" s="3121"/>
      <c r="E7" s="3121"/>
      <c r="F7" s="3121"/>
      <c r="G7" s="3122"/>
      <c r="H7" s="693" t="str">
        <f>IF(M17&gt;0,"มี","ไม่มี")</f>
        <v>ไม่มี</v>
      </c>
      <c r="I7" s="694">
        <f>IF(H7="มี",5,0)</f>
        <v>0</v>
      </c>
      <c r="S7" s="685"/>
      <c r="T7" s="685"/>
      <c r="U7" s="685"/>
      <c r="V7" s="685"/>
      <c r="W7" s="686"/>
      <c r="X7" s="685"/>
      <c r="Y7" s="685"/>
      <c r="Z7" s="685"/>
      <c r="AA7" s="685"/>
    </row>
    <row r="8" spans="2:27" s="682" customFormat="1" ht="14.25" x14ac:dyDescent="0.2">
      <c r="B8" s="695">
        <v>2</v>
      </c>
      <c r="C8" s="3120" t="s">
        <v>576</v>
      </c>
      <c r="D8" s="3121"/>
      <c r="E8" s="3121"/>
      <c r="F8" s="3121"/>
      <c r="G8" s="3122"/>
      <c r="H8" s="693" t="str">
        <f>IF(I8&gt;0,"มี","ไม่มี")</f>
        <v>ไม่มี</v>
      </c>
      <c r="I8" s="696">
        <f>IF(SUM(I9:I13)&gt;5,5,SUM(I9:I13))</f>
        <v>0</v>
      </c>
      <c r="S8" s="685"/>
      <c r="T8" s="685"/>
      <c r="U8" s="685"/>
      <c r="V8" s="685"/>
      <c r="W8" s="686"/>
      <c r="X8" s="685"/>
      <c r="Y8" s="685"/>
      <c r="Z8" s="685"/>
      <c r="AA8" s="685"/>
    </row>
    <row r="9" spans="2:27" s="682" customFormat="1" ht="14.25" x14ac:dyDescent="0.2">
      <c r="B9" s="697"/>
      <c r="C9" s="698" t="s">
        <v>577</v>
      </c>
      <c r="D9" s="699"/>
      <c r="E9" s="699"/>
      <c r="F9" s="699"/>
      <c r="G9" s="700"/>
      <c r="H9" s="701">
        <f>COUNTIF(T101:T120,"0.2")+COUNTIF(T128:T147,"0.2")+COUNTIF(T155:T174,"0.2")+COUNTIF(T182:T201,"0.2")</f>
        <v>0</v>
      </c>
      <c r="I9" s="702">
        <f>H9*1</f>
        <v>0</v>
      </c>
      <c r="S9" s="685"/>
      <c r="T9" s="685"/>
      <c r="U9" s="685"/>
      <c r="V9" s="685"/>
      <c r="W9" s="686"/>
      <c r="X9" s="685"/>
      <c r="Y9" s="685"/>
      <c r="Z9" s="685"/>
      <c r="AA9" s="685"/>
    </row>
    <row r="10" spans="2:27" s="682" customFormat="1" ht="14.25" x14ac:dyDescent="0.2">
      <c r="B10" s="697"/>
      <c r="C10" s="698" t="s">
        <v>578</v>
      </c>
      <c r="D10" s="699"/>
      <c r="E10" s="699"/>
      <c r="F10" s="699"/>
      <c r="G10" s="700"/>
      <c r="H10" s="701">
        <f>COUNTIF(T101:T120,"0.4")+COUNTIF(T128:T147,"0.4")+COUNTIF(T155:T174,"0.4")+COUNTIF(T182:T201,"0.4")</f>
        <v>0</v>
      </c>
      <c r="I10" s="702">
        <f>H10*2</f>
        <v>0</v>
      </c>
      <c r="S10" s="685"/>
      <c r="T10" s="685"/>
      <c r="U10" s="685"/>
      <c r="V10" s="685"/>
      <c r="W10" s="686"/>
      <c r="X10" s="685"/>
      <c r="Y10" s="685"/>
      <c r="Z10" s="685"/>
      <c r="AA10" s="685"/>
    </row>
    <row r="11" spans="2:27" s="682" customFormat="1" ht="14.25" x14ac:dyDescent="0.2">
      <c r="B11" s="697"/>
      <c r="C11" s="698" t="s">
        <v>579</v>
      </c>
      <c r="D11" s="699"/>
      <c r="E11" s="699"/>
      <c r="F11" s="699"/>
      <c r="G11" s="700"/>
      <c r="H11" s="701">
        <f>COUNTIF(T101:T120,"0.6")+COUNTIF(T128:T147,"0.6")+COUNTIF(T155:T174,"0.6")+COUNTIF(T182:T201,"0.6")</f>
        <v>0</v>
      </c>
      <c r="I11" s="702">
        <f>H11*3</f>
        <v>0</v>
      </c>
      <c r="S11" s="685"/>
      <c r="T11" s="685"/>
      <c r="U11" s="685"/>
      <c r="V11" s="685"/>
      <c r="W11" s="686"/>
      <c r="X11" s="685"/>
      <c r="Y11" s="685"/>
      <c r="Z11" s="685"/>
      <c r="AA11" s="685"/>
    </row>
    <row r="12" spans="2:27" s="682" customFormat="1" ht="14.25" x14ac:dyDescent="0.2">
      <c r="B12" s="697"/>
      <c r="C12" s="698" t="s">
        <v>580</v>
      </c>
      <c r="D12" s="699"/>
      <c r="E12" s="699"/>
      <c r="F12" s="699"/>
      <c r="G12" s="700"/>
      <c r="H12" s="701">
        <f>COUNTIF(T101:T120,"0.8")+COUNTIF(T128:T147,"0.8")+COUNTIF(T155:T174,"0.8")+COUNTIF(T182:T201,"0.8")</f>
        <v>0</v>
      </c>
      <c r="I12" s="702">
        <f>H12*4</f>
        <v>0</v>
      </c>
      <c r="S12" s="685"/>
      <c r="T12" s="685"/>
      <c r="U12" s="685"/>
      <c r="V12" s="685"/>
      <c r="W12" s="686"/>
      <c r="X12" s="685"/>
      <c r="Y12" s="685"/>
      <c r="Z12" s="685"/>
      <c r="AA12" s="685"/>
    </row>
    <row r="13" spans="2:27" s="682" customFormat="1" ht="14.25" x14ac:dyDescent="0.2">
      <c r="B13" s="703"/>
      <c r="C13" s="704" t="s">
        <v>581</v>
      </c>
      <c r="D13" s="705"/>
      <c r="E13" s="705"/>
      <c r="F13" s="705"/>
      <c r="G13" s="706"/>
      <c r="H13" s="707">
        <f>COUNTIF(T101:T120,"1.0")+COUNTIF(T128:T147,"1.0")+COUNTIF(T155:T174,"1.0")+COUNTIF(T182:T201,"1.0")</f>
        <v>0</v>
      </c>
      <c r="I13" s="708">
        <f>H13*5</f>
        <v>0</v>
      </c>
      <c r="S13" s="685"/>
      <c r="T13" s="685"/>
      <c r="U13" s="685"/>
      <c r="V13" s="685"/>
      <c r="W13" s="686"/>
      <c r="X13" s="685"/>
      <c r="Y13" s="685"/>
      <c r="Z13" s="685"/>
      <c r="AA13" s="685"/>
    </row>
    <row r="14" spans="2:27" s="682" customFormat="1" ht="22.5" customHeight="1" x14ac:dyDescent="0.2">
      <c r="B14" s="3123" t="s">
        <v>582</v>
      </c>
      <c r="C14" s="3124"/>
      <c r="D14" s="3124"/>
      <c r="E14" s="3124"/>
      <c r="F14" s="3124"/>
      <c r="G14" s="3124"/>
      <c r="H14" s="3125"/>
      <c r="I14" s="709">
        <f>I8+I7</f>
        <v>0</v>
      </c>
      <c r="S14" s="1038"/>
      <c r="T14" s="685"/>
      <c r="U14" s="685"/>
      <c r="V14" s="685"/>
      <c r="W14" s="686"/>
      <c r="X14" s="685"/>
      <c r="Y14" s="685"/>
      <c r="Z14" s="685"/>
      <c r="AA14" s="685"/>
    </row>
    <row r="15" spans="2:27" s="682" customFormat="1" ht="18" x14ac:dyDescent="0.25">
      <c r="B15" s="687"/>
      <c r="D15" s="683"/>
      <c r="F15" s="684"/>
      <c r="G15" s="684"/>
      <c r="H15" s="684"/>
      <c r="S15" s="685"/>
      <c r="T15" s="685"/>
      <c r="U15" s="685"/>
      <c r="V15" s="686"/>
      <c r="W15" s="685"/>
      <c r="X15" s="685"/>
      <c r="Y15" s="685"/>
      <c r="Z15" s="685"/>
      <c r="AA15" s="685"/>
    </row>
    <row r="16" spans="2:27" s="682" customFormat="1" ht="18" x14ac:dyDescent="0.25">
      <c r="B16" s="3115" t="s">
        <v>583</v>
      </c>
      <c r="C16" s="3116"/>
      <c r="D16" s="3116"/>
      <c r="E16" s="3116"/>
      <c r="F16" s="3116"/>
      <c r="G16" s="3116"/>
      <c r="H16" s="3116"/>
      <c r="I16" s="3117"/>
      <c r="S16" s="685"/>
      <c r="T16" s="685"/>
      <c r="U16" s="685"/>
      <c r="V16" s="686"/>
      <c r="W16" s="685"/>
      <c r="X16" s="685"/>
      <c r="Y16" s="685"/>
      <c r="Z16" s="685"/>
      <c r="AA16" s="685"/>
    </row>
    <row r="17" spans="2:27" s="682" customFormat="1" ht="21" customHeight="1" x14ac:dyDescent="0.25">
      <c r="B17" s="710" t="s">
        <v>584</v>
      </c>
      <c r="C17" s="711"/>
      <c r="D17" s="712"/>
      <c r="E17" s="713"/>
      <c r="F17" s="713"/>
      <c r="G17" s="714"/>
      <c r="H17" s="715"/>
      <c r="I17" s="715"/>
      <c r="J17" s="715"/>
      <c r="K17" s="715"/>
      <c r="L17" s="715"/>
      <c r="M17" s="716">
        <f>M37+M51+M60+M92+M71+M80</f>
        <v>0</v>
      </c>
      <c r="N17" s="716"/>
      <c r="O17" s="715"/>
      <c r="P17" s="717"/>
      <c r="Q17" s="718"/>
      <c r="R17" s="718"/>
      <c r="S17" s="1040"/>
      <c r="T17" s="685"/>
      <c r="U17" s="685"/>
      <c r="V17" s="686"/>
      <c r="W17" s="685"/>
      <c r="X17" s="685"/>
      <c r="Y17" s="685"/>
      <c r="Z17" s="685"/>
      <c r="AA17" s="685"/>
    </row>
    <row r="18" spans="2:27" s="725" customFormat="1" ht="21" customHeight="1" x14ac:dyDescent="0.2">
      <c r="B18" s="719" t="s">
        <v>585</v>
      </c>
      <c r="C18" s="720"/>
      <c r="D18" s="721"/>
      <c r="E18" s="721"/>
      <c r="F18" s="721"/>
      <c r="G18" s="843"/>
      <c r="H18" s="843"/>
      <c r="I18" s="1384"/>
      <c r="J18" s="3042" t="s">
        <v>425</v>
      </c>
      <c r="K18" s="3043"/>
      <c r="L18" s="3043"/>
      <c r="M18" s="3043"/>
      <c r="N18" s="3043"/>
      <c r="O18" s="3043"/>
      <c r="P18" s="3044"/>
      <c r="Q18" s="722"/>
      <c r="R18" s="722"/>
      <c r="S18" s="1039"/>
      <c r="T18" s="723"/>
      <c r="U18" s="723"/>
      <c r="V18" s="724"/>
      <c r="W18" s="723"/>
      <c r="X18" s="723"/>
      <c r="Y18" s="723"/>
      <c r="Z18" s="723"/>
      <c r="AA18" s="723"/>
    </row>
    <row r="19" spans="2:27" s="736" customFormat="1" ht="12.75" customHeight="1" x14ac:dyDescent="0.2">
      <c r="B19" s="726"/>
      <c r="C19" s="727" t="s">
        <v>555</v>
      </c>
      <c r="D19" s="3010" t="s">
        <v>1015</v>
      </c>
      <c r="E19" s="727" t="s">
        <v>586</v>
      </c>
      <c r="F19" s="728" t="s">
        <v>556</v>
      </c>
      <c r="G19" s="1431" t="s">
        <v>443</v>
      </c>
      <c r="H19" s="729" t="s">
        <v>443</v>
      </c>
      <c r="I19" s="730" t="s">
        <v>443</v>
      </c>
      <c r="J19" s="731" t="s">
        <v>587</v>
      </c>
      <c r="K19" s="732" t="s">
        <v>588</v>
      </c>
      <c r="L19" s="732" t="s">
        <v>589</v>
      </c>
      <c r="M19" s="3018" t="s">
        <v>590</v>
      </c>
      <c r="N19" s="3019"/>
      <c r="O19" s="3019"/>
      <c r="P19" s="3020"/>
      <c r="Q19" s="733"/>
      <c r="R19" s="733"/>
      <c r="S19" s="734"/>
      <c r="T19" s="734"/>
      <c r="U19" s="734"/>
      <c r="V19" s="735"/>
      <c r="W19" s="734"/>
      <c r="X19" s="734"/>
      <c r="Y19" s="734"/>
      <c r="Z19" s="734"/>
      <c r="AA19" s="734"/>
    </row>
    <row r="20" spans="2:27" s="747" customFormat="1" x14ac:dyDescent="0.2">
      <c r="B20" s="737"/>
      <c r="C20" s="738"/>
      <c r="D20" s="3011"/>
      <c r="E20" s="739"/>
      <c r="F20" s="739" t="s">
        <v>558</v>
      </c>
      <c r="G20" s="1432" t="s">
        <v>591</v>
      </c>
      <c r="H20" s="740" t="s">
        <v>445</v>
      </c>
      <c r="I20" s="741" t="s">
        <v>315</v>
      </c>
      <c r="J20" s="742" t="s">
        <v>592</v>
      </c>
      <c r="K20" s="743" t="s">
        <v>1018</v>
      </c>
      <c r="L20" s="785" t="s">
        <v>1018</v>
      </c>
      <c r="M20" s="3109"/>
      <c r="N20" s="3110"/>
      <c r="O20" s="3110"/>
      <c r="P20" s="3111"/>
      <c r="Q20" s="744"/>
      <c r="R20" s="744"/>
      <c r="S20" s="1050"/>
      <c r="T20" s="1050"/>
      <c r="U20" s="745"/>
      <c r="V20" s="746"/>
      <c r="W20" s="745"/>
      <c r="X20" s="745"/>
      <c r="Y20" s="745"/>
      <c r="Z20" s="745"/>
      <c r="AA20" s="745"/>
    </row>
    <row r="21" spans="2:27" s="755" customFormat="1" x14ac:dyDescent="0.2">
      <c r="B21" s="748"/>
      <c r="C21" s="749" t="s">
        <v>989</v>
      </c>
      <c r="D21" s="750"/>
      <c r="E21" s="750"/>
      <c r="F21" s="750"/>
      <c r="G21" s="1433"/>
      <c r="H21" s="751"/>
      <c r="I21" s="752"/>
      <c r="J21" s="3012" t="s">
        <v>1203</v>
      </c>
      <c r="K21" s="3013"/>
      <c r="L21" s="3013"/>
      <c r="M21" s="3013"/>
      <c r="N21" s="3013"/>
      <c r="O21" s="3013"/>
      <c r="P21" s="3014"/>
      <c r="Q21" s="753"/>
      <c r="R21" s="753"/>
      <c r="S21" s="1051">
        <v>242431</v>
      </c>
      <c r="T21" s="1051">
        <v>242796</v>
      </c>
      <c r="U21" s="754"/>
      <c r="V21" s="735"/>
      <c r="W21" s="754"/>
      <c r="X21" s="754"/>
      <c r="Y21" s="754"/>
      <c r="Z21" s="754"/>
      <c r="AA21" s="754"/>
    </row>
    <row r="22" spans="2:27" s="769" customFormat="1" x14ac:dyDescent="0.2">
      <c r="B22" s="756" t="s">
        <v>593</v>
      </c>
      <c r="C22" s="1430"/>
      <c r="D22" s="758"/>
      <c r="E22" s="759"/>
      <c r="F22" s="759"/>
      <c r="G22" s="1434">
        <f>H22*2</f>
        <v>0</v>
      </c>
      <c r="H22" s="760">
        <f>I22*15</f>
        <v>0</v>
      </c>
      <c r="I22" s="761">
        <f>IF(W22&gt;35,35,W22)</f>
        <v>0</v>
      </c>
      <c r="J22" s="762"/>
      <c r="K22" s="1501"/>
      <c r="L22" s="1501"/>
      <c r="M22" s="3024"/>
      <c r="N22" s="3025"/>
      <c r="O22" s="3025"/>
      <c r="P22" s="3026"/>
      <c r="Q22" s="766"/>
      <c r="R22" s="766"/>
      <c r="S22" s="767" t="str">
        <f>IF(K22&lt;&gt;"",IF(AND(K22&lt;=$S$21),0,1),"")</f>
        <v/>
      </c>
      <c r="T22" s="767" t="str">
        <f>IF(L22&lt;&gt;"",IF(AND(L22&gt;=$S$21,L22&lt;=$T$21),1,IF(L22&gt;$T$21,1,0)),"")</f>
        <v/>
      </c>
      <c r="U22" s="767">
        <f>IF(AND(S22=0,T22=1),1,IF(AND(S22=1,T22=1),1,0))</f>
        <v>0</v>
      </c>
      <c r="V22" s="767">
        <f>IF(OR(D22="",D22=0,E22="",E22=0,F22="",F22=0),0,D22*(F22/100))</f>
        <v>0</v>
      </c>
      <c r="W22" s="768">
        <f>IF(V22&gt;=200000,((TRUNC(V22/200000,0)*100000)*0.000005)+10.5,IF(V22&gt;=110000,(170+TRUNC(((V22-20000)/30000),0)*30)/30,IF(V22&gt;=50000,(110+TRUNC(((V22-10000)/20000),0)*30)/30,IF(V22&gt;0,(20+TRUNC((V22/10000),0)*30)/30,0))))</f>
        <v>0</v>
      </c>
      <c r="X22" s="768"/>
      <c r="Y22" s="768"/>
      <c r="Z22" s="768"/>
      <c r="AA22" s="768"/>
    </row>
    <row r="23" spans="2:27" s="769" customFormat="1" x14ac:dyDescent="0.2">
      <c r="B23" s="756" t="s">
        <v>594</v>
      </c>
      <c r="C23" s="757"/>
      <c r="D23" s="758"/>
      <c r="E23" s="759"/>
      <c r="F23" s="759"/>
      <c r="G23" s="1434">
        <f t="shared" ref="G23:G36" si="0">H23*2</f>
        <v>0</v>
      </c>
      <c r="H23" s="760">
        <f t="shared" ref="H23:H36" si="1">I23*15</f>
        <v>0</v>
      </c>
      <c r="I23" s="761">
        <f t="shared" ref="I23:I34" si="2">IF(W23&gt;35,35,W23)</f>
        <v>0</v>
      </c>
      <c r="J23" s="770"/>
      <c r="K23" s="1502"/>
      <c r="L23" s="1502"/>
      <c r="M23" s="3024"/>
      <c r="N23" s="3025"/>
      <c r="O23" s="3025"/>
      <c r="P23" s="3026"/>
      <c r="Q23" s="766"/>
      <c r="R23" s="766"/>
      <c r="S23" s="767" t="str">
        <f t="shared" ref="S23:S59" si="3">IF(K23&lt;&gt;"",IF(AND(K23&lt;=$S$21),0,1),"")</f>
        <v/>
      </c>
      <c r="T23" s="767" t="str">
        <f t="shared" ref="T23:T59" si="4">IF(L23&lt;&gt;"",IF(AND(L23&gt;=$S$21,L23&lt;=$T$21),1,IF(L23&gt;$T$21,1,0)),"")</f>
        <v/>
      </c>
      <c r="U23" s="767">
        <f t="shared" ref="U23:U59" si="5">IF(AND(S23=0,T23=1),1,IF(AND(S23=1,T23=1),1,0))</f>
        <v>0</v>
      </c>
      <c r="V23" s="767">
        <f t="shared" ref="V23:V36" si="6">IF(OR(D23="",D23=0,E23="",E23=0,F23="",F23=0),0,D23*(F23/100))</f>
        <v>0</v>
      </c>
      <c r="W23" s="768">
        <f t="shared" ref="W23:W36" si="7">IF(V23&gt;=200000,((TRUNC(V23/200000,0)*100000)*0.000005)+10.5,IF(V23&gt;=110000,(170+TRUNC(((V23-20000)/30000),0)*30)/30,IF(V23&gt;=50000,(110+TRUNC(((V23-10000)/20000),0)*30)/30,IF(V23&gt;0,(20+TRUNC((V23/10000),0)*30)/30,0))))</f>
        <v>0</v>
      </c>
      <c r="X23" s="768"/>
      <c r="Y23" s="768"/>
      <c r="Z23" s="768"/>
      <c r="AA23" s="768"/>
    </row>
    <row r="24" spans="2:27" s="769" customFormat="1" x14ac:dyDescent="0.2">
      <c r="B24" s="756" t="s">
        <v>595</v>
      </c>
      <c r="C24" s="757"/>
      <c r="D24" s="758"/>
      <c r="E24" s="759"/>
      <c r="F24" s="759"/>
      <c r="G24" s="1434">
        <f t="shared" si="0"/>
        <v>0</v>
      </c>
      <c r="H24" s="760">
        <f t="shared" si="1"/>
        <v>0</v>
      </c>
      <c r="I24" s="761">
        <f t="shared" si="2"/>
        <v>0</v>
      </c>
      <c r="J24" s="770"/>
      <c r="K24" s="1502"/>
      <c r="L24" s="1502"/>
      <c r="M24" s="3024"/>
      <c r="N24" s="3025"/>
      <c r="O24" s="3025"/>
      <c r="P24" s="3026"/>
      <c r="Q24" s="766"/>
      <c r="R24" s="766"/>
      <c r="S24" s="767" t="str">
        <f t="shared" si="3"/>
        <v/>
      </c>
      <c r="T24" s="767" t="str">
        <f t="shared" si="4"/>
        <v/>
      </c>
      <c r="U24" s="767">
        <f t="shared" si="5"/>
        <v>0</v>
      </c>
      <c r="V24" s="767">
        <f t="shared" si="6"/>
        <v>0</v>
      </c>
      <c r="W24" s="768">
        <f t="shared" si="7"/>
        <v>0</v>
      </c>
      <c r="X24" s="768"/>
      <c r="Y24" s="768"/>
      <c r="Z24" s="768"/>
      <c r="AA24" s="768"/>
    </row>
    <row r="25" spans="2:27" s="769" customFormat="1" x14ac:dyDescent="0.2">
      <c r="B25" s="756" t="s">
        <v>596</v>
      </c>
      <c r="C25" s="757"/>
      <c r="D25" s="758"/>
      <c r="E25" s="759"/>
      <c r="F25" s="759"/>
      <c r="G25" s="1434">
        <f t="shared" si="0"/>
        <v>0</v>
      </c>
      <c r="H25" s="760">
        <f t="shared" si="1"/>
        <v>0</v>
      </c>
      <c r="I25" s="761">
        <f t="shared" si="2"/>
        <v>0</v>
      </c>
      <c r="J25" s="770"/>
      <c r="K25" s="1502"/>
      <c r="L25" s="1502"/>
      <c r="M25" s="3024"/>
      <c r="N25" s="3025"/>
      <c r="O25" s="3025"/>
      <c r="P25" s="3026"/>
      <c r="Q25" s="766"/>
      <c r="R25" s="766"/>
      <c r="S25" s="767" t="str">
        <f t="shared" si="3"/>
        <v/>
      </c>
      <c r="T25" s="767" t="str">
        <f t="shared" si="4"/>
        <v/>
      </c>
      <c r="U25" s="767">
        <f t="shared" si="5"/>
        <v>0</v>
      </c>
      <c r="V25" s="767">
        <f t="shared" si="6"/>
        <v>0</v>
      </c>
      <c r="W25" s="768">
        <f t="shared" si="7"/>
        <v>0</v>
      </c>
      <c r="X25" s="768"/>
      <c r="Y25" s="768"/>
      <c r="Z25" s="768"/>
      <c r="AA25" s="768"/>
    </row>
    <row r="26" spans="2:27" s="769" customFormat="1" x14ac:dyDescent="0.2">
      <c r="B26" s="756" t="s">
        <v>597</v>
      </c>
      <c r="C26" s="757"/>
      <c r="D26" s="758"/>
      <c r="E26" s="759"/>
      <c r="F26" s="759"/>
      <c r="G26" s="1434">
        <f t="shared" si="0"/>
        <v>0</v>
      </c>
      <c r="H26" s="760">
        <f t="shared" si="1"/>
        <v>0</v>
      </c>
      <c r="I26" s="761">
        <f t="shared" si="2"/>
        <v>0</v>
      </c>
      <c r="J26" s="770"/>
      <c r="K26" s="1502"/>
      <c r="L26" s="1502"/>
      <c r="M26" s="3024"/>
      <c r="N26" s="3025"/>
      <c r="O26" s="3025"/>
      <c r="P26" s="3026"/>
      <c r="Q26" s="766"/>
      <c r="R26" s="766"/>
      <c r="S26" s="767" t="str">
        <f t="shared" si="3"/>
        <v/>
      </c>
      <c r="T26" s="767" t="str">
        <f t="shared" si="4"/>
        <v/>
      </c>
      <c r="U26" s="767">
        <f t="shared" si="5"/>
        <v>0</v>
      </c>
      <c r="V26" s="767">
        <f t="shared" si="6"/>
        <v>0</v>
      </c>
      <c r="W26" s="768">
        <f t="shared" si="7"/>
        <v>0</v>
      </c>
      <c r="X26" s="768"/>
      <c r="Y26" s="768"/>
      <c r="Z26" s="768"/>
      <c r="AA26" s="768"/>
    </row>
    <row r="27" spans="2:27" s="769" customFormat="1" x14ac:dyDescent="0.2">
      <c r="B27" s="756" t="s">
        <v>598</v>
      </c>
      <c r="C27" s="757"/>
      <c r="D27" s="758"/>
      <c r="E27" s="759"/>
      <c r="F27" s="759"/>
      <c r="G27" s="1434">
        <f t="shared" si="0"/>
        <v>0</v>
      </c>
      <c r="H27" s="760">
        <f t="shared" si="1"/>
        <v>0</v>
      </c>
      <c r="I27" s="761">
        <f t="shared" si="2"/>
        <v>0</v>
      </c>
      <c r="J27" s="770"/>
      <c r="K27" s="1502"/>
      <c r="L27" s="1502"/>
      <c r="M27" s="3024"/>
      <c r="N27" s="3025"/>
      <c r="O27" s="3025"/>
      <c r="P27" s="3026"/>
      <c r="Q27" s="766"/>
      <c r="R27" s="766"/>
      <c r="S27" s="767" t="str">
        <f t="shared" si="3"/>
        <v/>
      </c>
      <c r="T27" s="767" t="str">
        <f t="shared" si="4"/>
        <v/>
      </c>
      <c r="U27" s="767">
        <f t="shared" si="5"/>
        <v>0</v>
      </c>
      <c r="V27" s="767">
        <f t="shared" si="6"/>
        <v>0</v>
      </c>
      <c r="W27" s="768">
        <f t="shared" si="7"/>
        <v>0</v>
      </c>
      <c r="X27" s="768"/>
      <c r="Y27" s="768"/>
      <c r="Z27" s="768"/>
      <c r="AA27" s="768"/>
    </row>
    <row r="28" spans="2:27" s="769" customFormat="1" x14ac:dyDescent="0.2">
      <c r="B28" s="756" t="s">
        <v>599</v>
      </c>
      <c r="C28" s="757"/>
      <c r="D28" s="758"/>
      <c r="E28" s="759"/>
      <c r="F28" s="759"/>
      <c r="G28" s="1434">
        <f t="shared" si="0"/>
        <v>0</v>
      </c>
      <c r="H28" s="760">
        <f t="shared" si="1"/>
        <v>0</v>
      </c>
      <c r="I28" s="761">
        <f t="shared" si="2"/>
        <v>0</v>
      </c>
      <c r="J28" s="770"/>
      <c r="K28" s="1502"/>
      <c r="L28" s="1502"/>
      <c r="M28" s="3024"/>
      <c r="N28" s="3025"/>
      <c r="O28" s="3025"/>
      <c r="P28" s="3026"/>
      <c r="Q28" s="766"/>
      <c r="R28" s="766"/>
      <c r="S28" s="767" t="str">
        <f t="shared" si="3"/>
        <v/>
      </c>
      <c r="T28" s="767" t="str">
        <f t="shared" si="4"/>
        <v/>
      </c>
      <c r="U28" s="767">
        <f t="shared" si="5"/>
        <v>0</v>
      </c>
      <c r="V28" s="767">
        <f t="shared" si="6"/>
        <v>0</v>
      </c>
      <c r="W28" s="768">
        <f t="shared" si="7"/>
        <v>0</v>
      </c>
      <c r="X28" s="768"/>
      <c r="Y28" s="768"/>
      <c r="Z28" s="768"/>
      <c r="AA28" s="768"/>
    </row>
    <row r="29" spans="2:27" s="769" customFormat="1" x14ac:dyDescent="0.2">
      <c r="B29" s="756" t="s">
        <v>600</v>
      </c>
      <c r="C29" s="757"/>
      <c r="D29" s="758"/>
      <c r="E29" s="759"/>
      <c r="F29" s="759"/>
      <c r="G29" s="1434">
        <f t="shared" si="0"/>
        <v>0</v>
      </c>
      <c r="H29" s="760">
        <f t="shared" si="1"/>
        <v>0</v>
      </c>
      <c r="I29" s="761">
        <f t="shared" si="2"/>
        <v>0</v>
      </c>
      <c r="J29" s="770"/>
      <c r="K29" s="1502"/>
      <c r="L29" s="1502"/>
      <c r="M29" s="763"/>
      <c r="N29" s="1054"/>
      <c r="O29" s="764"/>
      <c r="P29" s="765"/>
      <c r="Q29" s="766"/>
      <c r="R29" s="766"/>
      <c r="S29" s="767" t="str">
        <f t="shared" si="3"/>
        <v/>
      </c>
      <c r="T29" s="767" t="str">
        <f t="shared" si="4"/>
        <v/>
      </c>
      <c r="U29" s="767">
        <f t="shared" si="5"/>
        <v>0</v>
      </c>
      <c r="V29" s="767">
        <f t="shared" si="6"/>
        <v>0</v>
      </c>
      <c r="W29" s="768">
        <f t="shared" si="7"/>
        <v>0</v>
      </c>
      <c r="X29" s="768"/>
      <c r="Y29" s="768"/>
      <c r="Z29" s="768"/>
      <c r="AA29" s="768"/>
    </row>
    <row r="30" spans="2:27" s="769" customFormat="1" x14ac:dyDescent="0.2">
      <c r="B30" s="756" t="s">
        <v>601</v>
      </c>
      <c r="C30" s="757"/>
      <c r="D30" s="758"/>
      <c r="E30" s="759"/>
      <c r="F30" s="759"/>
      <c r="G30" s="1434">
        <f t="shared" si="0"/>
        <v>0</v>
      </c>
      <c r="H30" s="760">
        <f t="shared" si="1"/>
        <v>0</v>
      </c>
      <c r="I30" s="761">
        <f t="shared" si="2"/>
        <v>0</v>
      </c>
      <c r="J30" s="770"/>
      <c r="K30" s="1502"/>
      <c r="L30" s="1502"/>
      <c r="M30" s="3024"/>
      <c r="N30" s="3025"/>
      <c r="O30" s="3025"/>
      <c r="P30" s="3026"/>
      <c r="Q30" s="766"/>
      <c r="R30" s="766"/>
      <c r="S30" s="767" t="str">
        <f t="shared" si="3"/>
        <v/>
      </c>
      <c r="T30" s="767" t="str">
        <f t="shared" si="4"/>
        <v/>
      </c>
      <c r="U30" s="767">
        <f t="shared" si="5"/>
        <v>0</v>
      </c>
      <c r="V30" s="767">
        <f t="shared" si="6"/>
        <v>0</v>
      </c>
      <c r="W30" s="768">
        <f t="shared" si="7"/>
        <v>0</v>
      </c>
      <c r="X30" s="768"/>
      <c r="Y30" s="768"/>
      <c r="Z30" s="768"/>
      <c r="AA30" s="768"/>
    </row>
    <row r="31" spans="2:27" s="769" customFormat="1" x14ac:dyDescent="0.2">
      <c r="B31" s="756" t="s">
        <v>602</v>
      </c>
      <c r="C31" s="757"/>
      <c r="D31" s="758"/>
      <c r="E31" s="759"/>
      <c r="F31" s="759"/>
      <c r="G31" s="1434">
        <f t="shared" si="0"/>
        <v>0</v>
      </c>
      <c r="H31" s="760">
        <f t="shared" si="1"/>
        <v>0</v>
      </c>
      <c r="I31" s="761">
        <f t="shared" si="2"/>
        <v>0</v>
      </c>
      <c r="J31" s="770"/>
      <c r="K31" s="1502"/>
      <c r="L31" s="1502"/>
      <c r="M31" s="3024"/>
      <c r="N31" s="3025"/>
      <c r="O31" s="3025"/>
      <c r="P31" s="3026"/>
      <c r="Q31" s="766"/>
      <c r="R31" s="766"/>
      <c r="S31" s="767" t="str">
        <f t="shared" si="3"/>
        <v/>
      </c>
      <c r="T31" s="767" t="str">
        <f t="shared" si="4"/>
        <v/>
      </c>
      <c r="U31" s="767">
        <f t="shared" si="5"/>
        <v>0</v>
      </c>
      <c r="V31" s="767">
        <f t="shared" si="6"/>
        <v>0</v>
      </c>
      <c r="W31" s="768">
        <f t="shared" si="7"/>
        <v>0</v>
      </c>
      <c r="X31" s="768"/>
      <c r="Y31" s="768"/>
      <c r="Z31" s="768"/>
      <c r="AA31" s="768"/>
    </row>
    <row r="32" spans="2:27" s="769" customFormat="1" x14ac:dyDescent="0.2">
      <c r="B32" s="756" t="s">
        <v>603</v>
      </c>
      <c r="C32" s="757"/>
      <c r="D32" s="758"/>
      <c r="E32" s="759"/>
      <c r="F32" s="759"/>
      <c r="G32" s="1434">
        <f t="shared" si="0"/>
        <v>0</v>
      </c>
      <c r="H32" s="760">
        <f t="shared" si="1"/>
        <v>0</v>
      </c>
      <c r="I32" s="761">
        <f t="shared" si="2"/>
        <v>0</v>
      </c>
      <c r="J32" s="770"/>
      <c r="K32" s="1502"/>
      <c r="L32" s="1502"/>
      <c r="M32" s="3024"/>
      <c r="N32" s="3025"/>
      <c r="O32" s="3025"/>
      <c r="P32" s="3026"/>
      <c r="Q32" s="766"/>
      <c r="R32" s="766"/>
      <c r="S32" s="767" t="str">
        <f t="shared" si="3"/>
        <v/>
      </c>
      <c r="T32" s="767" t="str">
        <f t="shared" si="4"/>
        <v/>
      </c>
      <c r="U32" s="767">
        <f t="shared" si="5"/>
        <v>0</v>
      </c>
      <c r="V32" s="767">
        <f t="shared" si="6"/>
        <v>0</v>
      </c>
      <c r="W32" s="768">
        <f t="shared" si="7"/>
        <v>0</v>
      </c>
      <c r="X32" s="768"/>
      <c r="Y32" s="768"/>
      <c r="Z32" s="768"/>
      <c r="AA32" s="768"/>
    </row>
    <row r="33" spans="2:27" s="769" customFormat="1" x14ac:dyDescent="0.2">
      <c r="B33" s="756" t="s">
        <v>604</v>
      </c>
      <c r="C33" s="757"/>
      <c r="D33" s="758"/>
      <c r="E33" s="759"/>
      <c r="F33" s="759"/>
      <c r="G33" s="1434">
        <f t="shared" si="0"/>
        <v>0</v>
      </c>
      <c r="H33" s="760">
        <f t="shared" si="1"/>
        <v>0</v>
      </c>
      <c r="I33" s="761">
        <f t="shared" si="2"/>
        <v>0</v>
      </c>
      <c r="J33" s="770"/>
      <c r="K33" s="1502"/>
      <c r="L33" s="1502"/>
      <c r="M33" s="3024"/>
      <c r="N33" s="3025"/>
      <c r="O33" s="3025"/>
      <c r="P33" s="3026"/>
      <c r="Q33" s="766"/>
      <c r="R33" s="766"/>
      <c r="S33" s="767" t="str">
        <f t="shared" si="3"/>
        <v/>
      </c>
      <c r="T33" s="767" t="str">
        <f t="shared" si="4"/>
        <v/>
      </c>
      <c r="U33" s="767">
        <f t="shared" si="5"/>
        <v>0</v>
      </c>
      <c r="V33" s="767">
        <f t="shared" si="6"/>
        <v>0</v>
      </c>
      <c r="W33" s="768">
        <f t="shared" si="7"/>
        <v>0</v>
      </c>
      <c r="X33" s="768"/>
      <c r="Y33" s="768"/>
      <c r="Z33" s="768"/>
      <c r="AA33" s="768"/>
    </row>
    <row r="34" spans="2:27" s="769" customFormat="1" x14ac:dyDescent="0.2">
      <c r="B34" s="756" t="s">
        <v>605</v>
      </c>
      <c r="C34" s="757"/>
      <c r="D34" s="758"/>
      <c r="E34" s="759"/>
      <c r="F34" s="759"/>
      <c r="G34" s="1434">
        <f t="shared" si="0"/>
        <v>0</v>
      </c>
      <c r="H34" s="760">
        <f t="shared" si="1"/>
        <v>0</v>
      </c>
      <c r="I34" s="761">
        <f t="shared" si="2"/>
        <v>0</v>
      </c>
      <c r="J34" s="770"/>
      <c r="K34" s="1502"/>
      <c r="L34" s="1502"/>
      <c r="M34" s="3024"/>
      <c r="N34" s="3025"/>
      <c r="O34" s="3025"/>
      <c r="P34" s="3026"/>
      <c r="Q34" s="766"/>
      <c r="R34" s="766"/>
      <c r="S34" s="767" t="str">
        <f t="shared" si="3"/>
        <v/>
      </c>
      <c r="T34" s="767" t="str">
        <f t="shared" si="4"/>
        <v/>
      </c>
      <c r="U34" s="767">
        <f t="shared" si="5"/>
        <v>0</v>
      </c>
      <c r="V34" s="767">
        <f t="shared" si="6"/>
        <v>0</v>
      </c>
      <c r="W34" s="768">
        <f t="shared" si="7"/>
        <v>0</v>
      </c>
      <c r="X34" s="768"/>
      <c r="Y34" s="768"/>
      <c r="Z34" s="768"/>
      <c r="AA34" s="768"/>
    </row>
    <row r="35" spans="2:27" s="769" customFormat="1" x14ac:dyDescent="0.2">
      <c r="B35" s="756" t="s">
        <v>606</v>
      </c>
      <c r="C35" s="757"/>
      <c r="D35" s="758"/>
      <c r="E35" s="759"/>
      <c r="F35" s="759"/>
      <c r="G35" s="1434">
        <f t="shared" si="0"/>
        <v>0</v>
      </c>
      <c r="H35" s="760">
        <f t="shared" si="1"/>
        <v>0</v>
      </c>
      <c r="I35" s="761">
        <f>IF(W35&gt;35,35,W35)</f>
        <v>0</v>
      </c>
      <c r="J35" s="770"/>
      <c r="K35" s="1502"/>
      <c r="L35" s="1502"/>
      <c r="M35" s="3024"/>
      <c r="N35" s="3025"/>
      <c r="O35" s="3025"/>
      <c r="P35" s="3026"/>
      <c r="Q35" s="766"/>
      <c r="R35" s="766"/>
      <c r="S35" s="767" t="str">
        <f t="shared" si="3"/>
        <v/>
      </c>
      <c r="T35" s="767" t="str">
        <f t="shared" si="4"/>
        <v/>
      </c>
      <c r="U35" s="767">
        <f t="shared" si="5"/>
        <v>0</v>
      </c>
      <c r="V35" s="767">
        <f t="shared" si="6"/>
        <v>0</v>
      </c>
      <c r="W35" s="768">
        <f t="shared" si="7"/>
        <v>0</v>
      </c>
      <c r="X35" s="768"/>
      <c r="Y35" s="768"/>
      <c r="Z35" s="768"/>
      <c r="AA35" s="768"/>
    </row>
    <row r="36" spans="2:27" s="769" customFormat="1" x14ac:dyDescent="0.2">
      <c r="B36" s="756" t="s">
        <v>607</v>
      </c>
      <c r="C36" s="757"/>
      <c r="D36" s="758"/>
      <c r="E36" s="759"/>
      <c r="F36" s="759"/>
      <c r="G36" s="1434">
        <f t="shared" si="0"/>
        <v>0</v>
      </c>
      <c r="H36" s="760">
        <f t="shared" si="1"/>
        <v>0</v>
      </c>
      <c r="I36" s="761">
        <f>IF(W36&gt;35,35,W36)</f>
        <v>0</v>
      </c>
      <c r="J36" s="770"/>
      <c r="K36" s="1502"/>
      <c r="L36" s="1502"/>
      <c r="M36" s="3024"/>
      <c r="N36" s="3025"/>
      <c r="O36" s="3025"/>
      <c r="P36" s="3026"/>
      <c r="Q36" s="766"/>
      <c r="R36" s="766"/>
      <c r="S36" s="767" t="str">
        <f t="shared" si="3"/>
        <v/>
      </c>
      <c r="T36" s="767" t="str">
        <f t="shared" si="4"/>
        <v/>
      </c>
      <c r="U36" s="767">
        <f t="shared" si="5"/>
        <v>0</v>
      </c>
      <c r="V36" s="767">
        <f t="shared" si="6"/>
        <v>0</v>
      </c>
      <c r="W36" s="768">
        <f t="shared" si="7"/>
        <v>0</v>
      </c>
      <c r="X36" s="768"/>
      <c r="Y36" s="768"/>
      <c r="Z36" s="768"/>
      <c r="AA36" s="768"/>
    </row>
    <row r="37" spans="2:27" s="755" customFormat="1" x14ac:dyDescent="0.2">
      <c r="B37" s="771"/>
      <c r="C37" s="772"/>
      <c r="D37" s="773"/>
      <c r="E37" s="773"/>
      <c r="F37" s="774" t="s">
        <v>283</v>
      </c>
      <c r="G37" s="775"/>
      <c r="H37" s="776">
        <f>SUM(H22:H36)</f>
        <v>0</v>
      </c>
      <c r="I37" s="777">
        <f>SUM(I22:I36)</f>
        <v>0</v>
      </c>
      <c r="J37" s="778"/>
      <c r="K37" s="776"/>
      <c r="L37" s="779"/>
      <c r="M37" s="780">
        <f>SUM(U22:U36)</f>
        <v>0</v>
      </c>
      <c r="N37" s="1181"/>
      <c r="O37" s="781"/>
      <c r="P37" s="782"/>
      <c r="Q37" s="783"/>
      <c r="R37" s="783"/>
      <c r="S37" s="767"/>
      <c r="T37" s="767"/>
      <c r="U37" s="767"/>
      <c r="V37" s="735"/>
      <c r="W37" s="754"/>
      <c r="X37" s="754"/>
      <c r="Y37" s="754"/>
      <c r="Z37" s="754"/>
      <c r="AA37" s="754"/>
    </row>
    <row r="38" spans="2:27" s="736" customFormat="1" ht="12.75" customHeight="1" x14ac:dyDescent="0.2">
      <c r="B38" s="726"/>
      <c r="C38" s="727" t="s">
        <v>555</v>
      </c>
      <c r="D38" s="3010" t="s">
        <v>1015</v>
      </c>
      <c r="E38" s="727" t="s">
        <v>586</v>
      </c>
      <c r="F38" s="728" t="s">
        <v>556</v>
      </c>
      <c r="G38" s="729" t="s">
        <v>443</v>
      </c>
      <c r="H38" s="729" t="s">
        <v>443</v>
      </c>
      <c r="I38" s="730" t="s">
        <v>443</v>
      </c>
      <c r="J38" s="726" t="s">
        <v>587</v>
      </c>
      <c r="K38" s="728" t="s">
        <v>588</v>
      </c>
      <c r="L38" s="728" t="s">
        <v>589</v>
      </c>
      <c r="M38" s="3018" t="s">
        <v>590</v>
      </c>
      <c r="N38" s="3019"/>
      <c r="O38" s="3019"/>
      <c r="P38" s="3020"/>
      <c r="Q38" s="733"/>
      <c r="R38" s="733"/>
      <c r="S38" s="767"/>
      <c r="T38" s="767"/>
      <c r="U38" s="767"/>
      <c r="V38" s="735"/>
      <c r="W38" s="734"/>
      <c r="X38" s="734"/>
      <c r="Y38" s="734"/>
      <c r="Z38" s="734"/>
      <c r="AA38" s="734"/>
    </row>
    <row r="39" spans="2:27" s="747" customFormat="1" x14ac:dyDescent="0.2">
      <c r="B39" s="737"/>
      <c r="C39" s="738"/>
      <c r="D39" s="3011"/>
      <c r="E39" s="739"/>
      <c r="F39" s="739" t="s">
        <v>558</v>
      </c>
      <c r="G39" s="740" t="s">
        <v>591</v>
      </c>
      <c r="H39" s="740" t="s">
        <v>445</v>
      </c>
      <c r="I39" s="741" t="s">
        <v>315</v>
      </c>
      <c r="J39" s="784" t="s">
        <v>592</v>
      </c>
      <c r="K39" s="785" t="s">
        <v>1018</v>
      </c>
      <c r="L39" s="785" t="s">
        <v>1018</v>
      </c>
      <c r="M39" s="3015"/>
      <c r="N39" s="3016"/>
      <c r="O39" s="3016"/>
      <c r="P39" s="3017"/>
      <c r="Q39" s="744"/>
      <c r="R39" s="744"/>
      <c r="S39" s="767"/>
      <c r="T39" s="767"/>
      <c r="U39" s="767"/>
      <c r="V39" s="746"/>
      <c r="W39" s="745"/>
      <c r="X39" s="745"/>
      <c r="Y39" s="745"/>
      <c r="Z39" s="745"/>
      <c r="AA39" s="745"/>
    </row>
    <row r="40" spans="2:27" s="755" customFormat="1" x14ac:dyDescent="0.2">
      <c r="B40" s="786"/>
      <c r="C40" s="787" t="s">
        <v>608</v>
      </c>
      <c r="D40" s="788"/>
      <c r="E40" s="788"/>
      <c r="F40" s="788"/>
      <c r="G40" s="751"/>
      <c r="H40" s="789"/>
      <c r="I40" s="790"/>
      <c r="J40" s="3012" t="s">
        <v>1203</v>
      </c>
      <c r="K40" s="3013"/>
      <c r="L40" s="3013"/>
      <c r="M40" s="3013"/>
      <c r="N40" s="3013"/>
      <c r="O40" s="3013"/>
      <c r="P40" s="3014"/>
      <c r="Q40" s="791"/>
      <c r="R40" s="791"/>
      <c r="S40" s="767"/>
      <c r="T40" s="767"/>
      <c r="U40" s="767"/>
      <c r="V40" s="735"/>
      <c r="W40" s="754"/>
      <c r="X40" s="754"/>
      <c r="Y40" s="754"/>
      <c r="Z40" s="754"/>
      <c r="AA40" s="754"/>
    </row>
    <row r="41" spans="2:27" s="769" customFormat="1" x14ac:dyDescent="0.2">
      <c r="B41" s="756" t="s">
        <v>593</v>
      </c>
      <c r="C41" s="757"/>
      <c r="D41" s="758"/>
      <c r="E41" s="759"/>
      <c r="F41" s="759"/>
      <c r="G41" s="760">
        <f>H41*2</f>
        <v>0</v>
      </c>
      <c r="H41" s="760">
        <f>I41*15</f>
        <v>0</v>
      </c>
      <c r="I41" s="761">
        <f>IF(W41&gt;35,35,W41)</f>
        <v>0</v>
      </c>
      <c r="J41" s="792"/>
      <c r="K41" s="1501"/>
      <c r="L41" s="1504"/>
      <c r="M41" s="3021"/>
      <c r="N41" s="3022"/>
      <c r="O41" s="3022"/>
      <c r="P41" s="3023"/>
      <c r="Q41" s="793"/>
      <c r="R41" s="793"/>
      <c r="S41" s="767" t="str">
        <f t="shared" si="3"/>
        <v/>
      </c>
      <c r="T41" s="767" t="str">
        <f t="shared" si="4"/>
        <v/>
      </c>
      <c r="U41" s="767">
        <f t="shared" si="5"/>
        <v>0</v>
      </c>
      <c r="V41" s="767">
        <f>IF(OR(D41="",D41=0,E41="",E41=0,F41="",F41=0),0,D41*(F41/100))</f>
        <v>0</v>
      </c>
      <c r="W41" s="768">
        <f>IF(V41&gt;=100000,((TRUNC(V41/100000,0)*100000)*0.000005)+10.5,IF(V41&gt;=55000,(170+TRUNC(((V41-10000)/15000),0)*30)/30,IF(V41&gt;=25000,(110+TRUNC(((V41-5000)/10000),0)*30)/30,IF(V41&gt;0,(20+TRUNC((V41/5000),0)*30)/30,0))))</f>
        <v>0</v>
      </c>
      <c r="X41" s="768"/>
      <c r="Y41" s="768"/>
      <c r="Z41" s="768"/>
      <c r="AA41" s="768"/>
    </row>
    <row r="42" spans="2:27" s="769" customFormat="1" x14ac:dyDescent="0.2">
      <c r="B42" s="756" t="s">
        <v>594</v>
      </c>
      <c r="C42" s="757"/>
      <c r="D42" s="758"/>
      <c r="E42" s="759"/>
      <c r="F42" s="759"/>
      <c r="G42" s="760">
        <f t="shared" ref="G42:G50" si="8">H42*2</f>
        <v>0</v>
      </c>
      <c r="H42" s="760">
        <f t="shared" ref="H42:H50" si="9">I42*15</f>
        <v>0</v>
      </c>
      <c r="I42" s="761">
        <f t="shared" ref="I42:I49" si="10">IF(W42&gt;35,35,W42)</f>
        <v>0</v>
      </c>
      <c r="J42" s="794"/>
      <c r="K42" s="1502"/>
      <c r="L42" s="1505"/>
      <c r="M42" s="3024"/>
      <c r="N42" s="3025"/>
      <c r="O42" s="3025"/>
      <c r="P42" s="3026"/>
      <c r="Q42" s="793"/>
      <c r="R42" s="793"/>
      <c r="S42" s="767" t="str">
        <f t="shared" si="3"/>
        <v/>
      </c>
      <c r="T42" s="767" t="str">
        <f t="shared" si="4"/>
        <v/>
      </c>
      <c r="U42" s="767">
        <f t="shared" si="5"/>
        <v>0</v>
      </c>
      <c r="V42" s="767">
        <f t="shared" ref="V42:V49" si="11">IF(OR(D42="",D42=0,E42="",E42=0,F42="",F42=0),0,D42*(F42/100))</f>
        <v>0</v>
      </c>
      <c r="W42" s="768">
        <f t="shared" ref="W42:W49" si="12">IF(V42&gt;=100000,((TRUNC(V42/100000,0)*100000)*0.000005)+10.5,IF(V42&gt;=55000,(170+TRUNC(((V42-10000)/15000),0)*30)/30,IF(V42&gt;=25000,(110+TRUNC(((V42-5000)/10000),0)*30)/30,IF(V42&gt;0,(20+TRUNC((V42/5000),0)*30)/30,0))))</f>
        <v>0</v>
      </c>
      <c r="X42" s="768"/>
      <c r="Y42" s="768"/>
      <c r="Z42" s="768"/>
      <c r="AA42" s="768"/>
    </row>
    <row r="43" spans="2:27" s="769" customFormat="1" x14ac:dyDescent="0.2">
      <c r="B43" s="756" t="s">
        <v>595</v>
      </c>
      <c r="C43" s="757"/>
      <c r="D43" s="758"/>
      <c r="E43" s="759"/>
      <c r="F43" s="759"/>
      <c r="G43" s="760">
        <f t="shared" si="8"/>
        <v>0</v>
      </c>
      <c r="H43" s="760">
        <f t="shared" si="9"/>
        <v>0</v>
      </c>
      <c r="I43" s="761">
        <f t="shared" si="10"/>
        <v>0</v>
      </c>
      <c r="J43" s="794"/>
      <c r="K43" s="1502"/>
      <c r="L43" s="1505"/>
      <c r="M43" s="3024"/>
      <c r="N43" s="3025"/>
      <c r="O43" s="3025"/>
      <c r="P43" s="3026"/>
      <c r="Q43" s="793"/>
      <c r="R43" s="793"/>
      <c r="S43" s="767" t="str">
        <f t="shared" si="3"/>
        <v/>
      </c>
      <c r="T43" s="767" t="str">
        <f t="shared" si="4"/>
        <v/>
      </c>
      <c r="U43" s="767">
        <f t="shared" si="5"/>
        <v>0</v>
      </c>
      <c r="V43" s="767">
        <f t="shared" si="11"/>
        <v>0</v>
      </c>
      <c r="W43" s="768">
        <f t="shared" si="12"/>
        <v>0</v>
      </c>
      <c r="X43" s="768"/>
      <c r="Y43" s="768"/>
      <c r="Z43" s="768"/>
      <c r="AA43" s="768"/>
    </row>
    <row r="44" spans="2:27" s="769" customFormat="1" x14ac:dyDescent="0.2">
      <c r="B44" s="756" t="s">
        <v>596</v>
      </c>
      <c r="C44" s="757"/>
      <c r="D44" s="758"/>
      <c r="E44" s="759"/>
      <c r="F44" s="759"/>
      <c r="G44" s="760">
        <f t="shared" si="8"/>
        <v>0</v>
      </c>
      <c r="H44" s="760">
        <f t="shared" si="9"/>
        <v>0</v>
      </c>
      <c r="I44" s="761">
        <f t="shared" si="10"/>
        <v>0</v>
      </c>
      <c r="J44" s="794"/>
      <c r="K44" s="1502"/>
      <c r="L44" s="1505"/>
      <c r="M44" s="3024"/>
      <c r="N44" s="3025"/>
      <c r="O44" s="3025"/>
      <c r="P44" s="3026"/>
      <c r="Q44" s="793"/>
      <c r="R44" s="793"/>
      <c r="S44" s="767" t="str">
        <f t="shared" si="3"/>
        <v/>
      </c>
      <c r="T44" s="767" t="str">
        <f t="shared" si="4"/>
        <v/>
      </c>
      <c r="U44" s="767">
        <f t="shared" si="5"/>
        <v>0</v>
      </c>
      <c r="V44" s="767">
        <f t="shared" si="11"/>
        <v>0</v>
      </c>
      <c r="W44" s="768">
        <f t="shared" si="12"/>
        <v>0</v>
      </c>
      <c r="X44" s="768"/>
      <c r="Y44" s="768"/>
      <c r="Z44" s="768"/>
      <c r="AA44" s="768"/>
    </row>
    <row r="45" spans="2:27" s="769" customFormat="1" x14ac:dyDescent="0.2">
      <c r="B45" s="756" t="s">
        <v>597</v>
      </c>
      <c r="C45" s="757"/>
      <c r="D45" s="758"/>
      <c r="E45" s="759"/>
      <c r="F45" s="759"/>
      <c r="G45" s="760">
        <f t="shared" si="8"/>
        <v>0</v>
      </c>
      <c r="H45" s="760">
        <f t="shared" si="9"/>
        <v>0</v>
      </c>
      <c r="I45" s="761">
        <f t="shared" si="10"/>
        <v>0</v>
      </c>
      <c r="J45" s="794"/>
      <c r="K45" s="1502"/>
      <c r="L45" s="1505"/>
      <c r="M45" s="3024"/>
      <c r="N45" s="3025"/>
      <c r="O45" s="3025"/>
      <c r="P45" s="3026"/>
      <c r="Q45" s="793"/>
      <c r="R45" s="793"/>
      <c r="S45" s="767" t="str">
        <f t="shared" si="3"/>
        <v/>
      </c>
      <c r="T45" s="767" t="str">
        <f t="shared" si="4"/>
        <v/>
      </c>
      <c r="U45" s="767">
        <f t="shared" si="5"/>
        <v>0</v>
      </c>
      <c r="V45" s="767">
        <f t="shared" si="11"/>
        <v>0</v>
      </c>
      <c r="W45" s="768">
        <f t="shared" si="12"/>
        <v>0</v>
      </c>
      <c r="X45" s="768"/>
      <c r="Y45" s="768"/>
      <c r="Z45" s="768"/>
      <c r="AA45" s="768"/>
    </row>
    <row r="46" spans="2:27" s="769" customFormat="1" x14ac:dyDescent="0.2">
      <c r="B46" s="756" t="s">
        <v>598</v>
      </c>
      <c r="C46" s="757"/>
      <c r="D46" s="758"/>
      <c r="E46" s="759"/>
      <c r="F46" s="759"/>
      <c r="G46" s="760">
        <f t="shared" si="8"/>
        <v>0</v>
      </c>
      <c r="H46" s="760">
        <f t="shared" si="9"/>
        <v>0</v>
      </c>
      <c r="I46" s="761">
        <f t="shared" si="10"/>
        <v>0</v>
      </c>
      <c r="J46" s="794"/>
      <c r="K46" s="1502"/>
      <c r="L46" s="1505"/>
      <c r="M46" s="3024"/>
      <c r="N46" s="3025"/>
      <c r="O46" s="3025"/>
      <c r="P46" s="3026"/>
      <c r="Q46" s="793"/>
      <c r="R46" s="793"/>
      <c r="S46" s="767" t="str">
        <f t="shared" si="3"/>
        <v/>
      </c>
      <c r="T46" s="767" t="str">
        <f t="shared" si="4"/>
        <v/>
      </c>
      <c r="U46" s="767">
        <f t="shared" si="5"/>
        <v>0</v>
      </c>
      <c r="V46" s="767">
        <f t="shared" si="11"/>
        <v>0</v>
      </c>
      <c r="W46" s="768">
        <f t="shared" si="12"/>
        <v>0</v>
      </c>
      <c r="X46" s="768"/>
      <c r="Y46" s="768"/>
      <c r="Z46" s="768"/>
      <c r="AA46" s="768"/>
    </row>
    <row r="47" spans="2:27" s="769" customFormat="1" x14ac:dyDescent="0.2">
      <c r="B47" s="756" t="s">
        <v>599</v>
      </c>
      <c r="C47" s="757"/>
      <c r="D47" s="758"/>
      <c r="E47" s="759"/>
      <c r="F47" s="759"/>
      <c r="G47" s="760">
        <f t="shared" si="8"/>
        <v>0</v>
      </c>
      <c r="H47" s="760">
        <f t="shared" si="9"/>
        <v>0</v>
      </c>
      <c r="I47" s="761">
        <f t="shared" si="10"/>
        <v>0</v>
      </c>
      <c r="J47" s="794"/>
      <c r="K47" s="1502"/>
      <c r="L47" s="1505"/>
      <c r="M47" s="3024"/>
      <c r="N47" s="3025"/>
      <c r="O47" s="3025"/>
      <c r="P47" s="3026"/>
      <c r="Q47" s="793"/>
      <c r="R47" s="793"/>
      <c r="S47" s="767" t="str">
        <f t="shared" si="3"/>
        <v/>
      </c>
      <c r="T47" s="767" t="str">
        <f t="shared" si="4"/>
        <v/>
      </c>
      <c r="U47" s="767">
        <f t="shared" si="5"/>
        <v>0</v>
      </c>
      <c r="V47" s="767">
        <f t="shared" si="11"/>
        <v>0</v>
      </c>
      <c r="W47" s="768">
        <f t="shared" si="12"/>
        <v>0</v>
      </c>
      <c r="X47" s="768"/>
      <c r="Y47" s="768"/>
      <c r="Z47" s="768"/>
      <c r="AA47" s="768"/>
    </row>
    <row r="48" spans="2:27" s="769" customFormat="1" x14ac:dyDescent="0.2">
      <c r="B48" s="756" t="s">
        <v>600</v>
      </c>
      <c r="C48" s="757"/>
      <c r="D48" s="758"/>
      <c r="E48" s="759"/>
      <c r="F48" s="759"/>
      <c r="G48" s="760">
        <f t="shared" si="8"/>
        <v>0</v>
      </c>
      <c r="H48" s="760">
        <f t="shared" si="9"/>
        <v>0</v>
      </c>
      <c r="I48" s="761">
        <f t="shared" si="10"/>
        <v>0</v>
      </c>
      <c r="J48" s="794"/>
      <c r="K48" s="1502"/>
      <c r="L48" s="1505"/>
      <c r="M48" s="3024"/>
      <c r="N48" s="3025"/>
      <c r="O48" s="3025"/>
      <c r="P48" s="3026"/>
      <c r="Q48" s="793"/>
      <c r="R48" s="793"/>
      <c r="S48" s="767" t="str">
        <f t="shared" si="3"/>
        <v/>
      </c>
      <c r="T48" s="767" t="str">
        <f t="shared" si="4"/>
        <v/>
      </c>
      <c r="U48" s="767">
        <f t="shared" si="5"/>
        <v>0</v>
      </c>
      <c r="V48" s="767">
        <f t="shared" si="11"/>
        <v>0</v>
      </c>
      <c r="W48" s="768">
        <f t="shared" si="12"/>
        <v>0</v>
      </c>
      <c r="X48" s="768"/>
      <c r="Y48" s="768"/>
      <c r="Z48" s="768"/>
      <c r="AA48" s="768"/>
    </row>
    <row r="49" spans="2:27" s="769" customFormat="1" x14ac:dyDescent="0.2">
      <c r="B49" s="756" t="s">
        <v>601</v>
      </c>
      <c r="C49" s="757"/>
      <c r="D49" s="758"/>
      <c r="E49" s="759"/>
      <c r="F49" s="759"/>
      <c r="G49" s="760">
        <f t="shared" si="8"/>
        <v>0</v>
      </c>
      <c r="H49" s="760">
        <f t="shared" si="9"/>
        <v>0</v>
      </c>
      <c r="I49" s="761">
        <f t="shared" si="10"/>
        <v>0</v>
      </c>
      <c r="J49" s="794"/>
      <c r="K49" s="1502"/>
      <c r="L49" s="1505"/>
      <c r="M49" s="3024"/>
      <c r="N49" s="3025"/>
      <c r="O49" s="3025"/>
      <c r="P49" s="3026"/>
      <c r="Q49" s="793"/>
      <c r="R49" s="793"/>
      <c r="S49" s="767" t="str">
        <f t="shared" si="3"/>
        <v/>
      </c>
      <c r="T49" s="767" t="str">
        <f t="shared" si="4"/>
        <v/>
      </c>
      <c r="U49" s="767">
        <f t="shared" si="5"/>
        <v>0</v>
      </c>
      <c r="V49" s="767">
        <f t="shared" si="11"/>
        <v>0</v>
      </c>
      <c r="W49" s="768">
        <f t="shared" si="12"/>
        <v>0</v>
      </c>
      <c r="X49" s="768"/>
      <c r="Y49" s="768"/>
      <c r="Z49" s="768"/>
      <c r="AA49" s="768"/>
    </row>
    <row r="50" spans="2:27" s="769" customFormat="1" x14ac:dyDescent="0.2">
      <c r="B50" s="756" t="s">
        <v>602</v>
      </c>
      <c r="C50" s="757"/>
      <c r="D50" s="758"/>
      <c r="E50" s="759"/>
      <c r="F50" s="759"/>
      <c r="G50" s="760">
        <f t="shared" si="8"/>
        <v>0</v>
      </c>
      <c r="H50" s="760">
        <f t="shared" si="9"/>
        <v>0</v>
      </c>
      <c r="I50" s="761">
        <f>IF(W50&gt;35,35,W50)</f>
        <v>0</v>
      </c>
      <c r="J50" s="794"/>
      <c r="K50" s="1502"/>
      <c r="L50" s="1505"/>
      <c r="M50" s="3024"/>
      <c r="N50" s="3025"/>
      <c r="O50" s="3025"/>
      <c r="P50" s="3026"/>
      <c r="Q50" s="793"/>
      <c r="R50" s="793"/>
      <c r="S50" s="767" t="str">
        <f t="shared" si="3"/>
        <v/>
      </c>
      <c r="T50" s="767" t="str">
        <f t="shared" si="4"/>
        <v/>
      </c>
      <c r="U50" s="767">
        <f t="shared" si="5"/>
        <v>0</v>
      </c>
      <c r="V50" s="767"/>
      <c r="W50" s="768"/>
      <c r="X50" s="768"/>
      <c r="Y50" s="768"/>
      <c r="Z50" s="768"/>
      <c r="AA50" s="768"/>
    </row>
    <row r="51" spans="2:27" s="755" customFormat="1" x14ac:dyDescent="0.2">
      <c r="B51" s="795"/>
      <c r="C51" s="796"/>
      <c r="D51" s="797"/>
      <c r="E51" s="797"/>
      <c r="F51" s="798" t="s">
        <v>283</v>
      </c>
      <c r="G51" s="799"/>
      <c r="H51" s="800">
        <f>SUM(H41:H50)</f>
        <v>0</v>
      </c>
      <c r="I51" s="801">
        <f>SUM(I41:I50)</f>
        <v>0</v>
      </c>
      <c r="J51" s="802"/>
      <c r="K51" s="803"/>
      <c r="L51" s="803"/>
      <c r="M51" s="804">
        <f>SUM(U41:U50)</f>
        <v>0</v>
      </c>
      <c r="N51" s="804"/>
      <c r="O51" s="803"/>
      <c r="P51" s="805"/>
      <c r="Q51" s="806"/>
      <c r="R51" s="806"/>
      <c r="S51" s="767"/>
      <c r="T51" s="767"/>
      <c r="U51" s="767"/>
      <c r="V51" s="735"/>
      <c r="W51" s="754"/>
      <c r="X51" s="754"/>
      <c r="Y51" s="754"/>
      <c r="Z51" s="754"/>
      <c r="AA51" s="754"/>
    </row>
    <row r="52" spans="2:27" s="736" customFormat="1" ht="12.75" customHeight="1" x14ac:dyDescent="0.2">
      <c r="B52" s="807"/>
      <c r="C52" s="3030" t="s">
        <v>555</v>
      </c>
      <c r="D52" s="3031"/>
      <c r="E52" s="3032"/>
      <c r="F52" s="808" t="s">
        <v>280</v>
      </c>
      <c r="G52" s="729" t="s">
        <v>443</v>
      </c>
      <c r="H52" s="729" t="s">
        <v>443</v>
      </c>
      <c r="I52" s="730" t="s">
        <v>443</v>
      </c>
      <c r="J52" s="809" t="s">
        <v>587</v>
      </c>
      <c r="K52" s="810" t="s">
        <v>588</v>
      </c>
      <c r="L52" s="810" t="s">
        <v>589</v>
      </c>
      <c r="M52" s="3033" t="s">
        <v>590</v>
      </c>
      <c r="N52" s="3034"/>
      <c r="O52" s="3034"/>
      <c r="P52" s="3035"/>
      <c r="Q52" s="733"/>
      <c r="R52" s="733"/>
      <c r="S52" s="767"/>
      <c r="T52" s="767"/>
      <c r="U52" s="767"/>
      <c r="V52" s="735"/>
      <c r="W52" s="734"/>
      <c r="X52" s="734"/>
      <c r="Y52" s="734"/>
      <c r="Z52" s="734"/>
      <c r="AA52" s="734"/>
    </row>
    <row r="53" spans="2:27" s="747" customFormat="1" x14ac:dyDescent="0.2">
      <c r="B53" s="811"/>
      <c r="C53" s="738"/>
      <c r="D53" s="812"/>
      <c r="E53" s="813"/>
      <c r="F53" s="814" t="s">
        <v>609</v>
      </c>
      <c r="G53" s="740" t="s">
        <v>591</v>
      </c>
      <c r="H53" s="740" t="s">
        <v>445</v>
      </c>
      <c r="I53" s="741" t="s">
        <v>315</v>
      </c>
      <c r="J53" s="784" t="s">
        <v>592</v>
      </c>
      <c r="K53" s="785" t="s">
        <v>1018</v>
      </c>
      <c r="L53" s="785" t="s">
        <v>1018</v>
      </c>
      <c r="M53" s="3015"/>
      <c r="N53" s="3016"/>
      <c r="O53" s="3016"/>
      <c r="P53" s="3017"/>
      <c r="Q53" s="733"/>
      <c r="R53" s="733"/>
      <c r="S53" s="767"/>
      <c r="T53" s="767"/>
      <c r="U53" s="767"/>
      <c r="V53" s="746"/>
      <c r="W53" s="745"/>
      <c r="X53" s="745"/>
      <c r="Y53" s="745"/>
      <c r="Z53" s="745"/>
      <c r="AA53" s="745"/>
    </row>
    <row r="54" spans="2:27" s="755" customFormat="1" x14ac:dyDescent="0.2">
      <c r="B54" s="786"/>
      <c r="C54" s="787" t="s">
        <v>610</v>
      </c>
      <c r="D54" s="750"/>
      <c r="E54" s="750"/>
      <c r="F54" s="815"/>
      <c r="G54" s="751"/>
      <c r="H54" s="751"/>
      <c r="I54" s="752"/>
      <c r="J54" s="3012" t="s">
        <v>1203</v>
      </c>
      <c r="K54" s="3013"/>
      <c r="L54" s="3013"/>
      <c r="M54" s="3013"/>
      <c r="N54" s="3013"/>
      <c r="O54" s="3013"/>
      <c r="P54" s="3014"/>
      <c r="Q54" s="791"/>
      <c r="R54" s="791"/>
      <c r="S54" s="767"/>
      <c r="T54" s="767"/>
      <c r="U54" s="767"/>
      <c r="V54" s="735"/>
      <c r="W54" s="754"/>
      <c r="X54" s="754"/>
      <c r="Y54" s="754"/>
      <c r="Z54" s="754"/>
      <c r="AA54" s="754"/>
    </row>
    <row r="55" spans="2:27" s="769" customFormat="1" x14ac:dyDescent="0.2">
      <c r="B55" s="816" t="s">
        <v>611</v>
      </c>
      <c r="C55" s="3027"/>
      <c r="D55" s="3028"/>
      <c r="E55" s="3029"/>
      <c r="F55" s="759"/>
      <c r="G55" s="817">
        <v>80</v>
      </c>
      <c r="H55" s="760">
        <f>(G55*F55)/2</f>
        <v>0</v>
      </c>
      <c r="I55" s="761">
        <f>H55/15</f>
        <v>0</v>
      </c>
      <c r="J55" s="762"/>
      <c r="K55" s="1501"/>
      <c r="L55" s="1501"/>
      <c r="M55" s="3021"/>
      <c r="N55" s="3022"/>
      <c r="O55" s="3022"/>
      <c r="P55" s="3023"/>
      <c r="Q55" s="793"/>
      <c r="R55" s="793"/>
      <c r="S55" s="767" t="str">
        <f t="shared" si="3"/>
        <v/>
      </c>
      <c r="T55" s="767" t="str">
        <f t="shared" si="4"/>
        <v/>
      </c>
      <c r="U55" s="767">
        <f t="shared" si="5"/>
        <v>0</v>
      </c>
      <c r="V55" s="767"/>
      <c r="W55" s="768"/>
      <c r="X55" s="768"/>
      <c r="Y55" s="768"/>
      <c r="Z55" s="768"/>
      <c r="AA55" s="768"/>
    </row>
    <row r="56" spans="2:27" s="769" customFormat="1" x14ac:dyDescent="0.2">
      <c r="B56" s="816" t="s">
        <v>612</v>
      </c>
      <c r="C56" s="3027"/>
      <c r="D56" s="3028"/>
      <c r="E56" s="3029"/>
      <c r="F56" s="759"/>
      <c r="G56" s="817">
        <v>80</v>
      </c>
      <c r="H56" s="760">
        <f>(G56*F56)/2</f>
        <v>0</v>
      </c>
      <c r="I56" s="761">
        <f>H56/15</f>
        <v>0</v>
      </c>
      <c r="J56" s="770"/>
      <c r="K56" s="1501"/>
      <c r="L56" s="1501"/>
      <c r="M56" s="3024"/>
      <c r="N56" s="3025"/>
      <c r="O56" s="3025"/>
      <c r="P56" s="3026"/>
      <c r="Q56" s="793"/>
      <c r="R56" s="793"/>
      <c r="S56" s="767" t="str">
        <f t="shared" si="3"/>
        <v/>
      </c>
      <c r="T56" s="767" t="str">
        <f t="shared" si="4"/>
        <v/>
      </c>
      <c r="U56" s="767">
        <f t="shared" si="5"/>
        <v>0</v>
      </c>
      <c r="V56" s="767"/>
      <c r="W56" s="768"/>
      <c r="X56" s="768"/>
      <c r="Y56" s="768"/>
      <c r="Z56" s="768"/>
      <c r="AA56" s="768"/>
    </row>
    <row r="57" spans="2:27" s="769" customFormat="1" x14ac:dyDescent="0.2">
      <c r="B57" s="816" t="s">
        <v>613</v>
      </c>
      <c r="C57" s="3027"/>
      <c r="D57" s="3028"/>
      <c r="E57" s="3029"/>
      <c r="F57" s="759"/>
      <c r="G57" s="817">
        <v>80</v>
      </c>
      <c r="H57" s="760">
        <f>(G57*F57)/2</f>
        <v>0</v>
      </c>
      <c r="I57" s="761">
        <f>H57/15</f>
        <v>0</v>
      </c>
      <c r="J57" s="770"/>
      <c r="K57" s="1501"/>
      <c r="L57" s="1501"/>
      <c r="M57" s="3024"/>
      <c r="N57" s="3025"/>
      <c r="O57" s="3025"/>
      <c r="P57" s="3026"/>
      <c r="Q57" s="793"/>
      <c r="R57" s="793"/>
      <c r="S57" s="767" t="str">
        <f t="shared" si="3"/>
        <v/>
      </c>
      <c r="T57" s="767" t="str">
        <f t="shared" si="4"/>
        <v/>
      </c>
      <c r="U57" s="767">
        <f t="shared" si="5"/>
        <v>0</v>
      </c>
      <c r="V57" s="767"/>
      <c r="W57" s="768"/>
      <c r="X57" s="768"/>
      <c r="Y57" s="768"/>
      <c r="Z57" s="768"/>
      <c r="AA57" s="768"/>
    </row>
    <row r="58" spans="2:27" s="769" customFormat="1" x14ac:dyDescent="0.2">
      <c r="B58" s="816" t="s">
        <v>614</v>
      </c>
      <c r="C58" s="3027"/>
      <c r="D58" s="3028"/>
      <c r="E58" s="3029"/>
      <c r="F58" s="759"/>
      <c r="G58" s="817">
        <v>80</v>
      </c>
      <c r="H58" s="760">
        <f>(G58*F58)/2</f>
        <v>0</v>
      </c>
      <c r="I58" s="761">
        <f>H58/15</f>
        <v>0</v>
      </c>
      <c r="J58" s="770"/>
      <c r="K58" s="1501"/>
      <c r="L58" s="1501"/>
      <c r="M58" s="3024"/>
      <c r="N58" s="3025"/>
      <c r="O58" s="3025"/>
      <c r="P58" s="3026"/>
      <c r="Q58" s="793"/>
      <c r="R58" s="793"/>
      <c r="S58" s="767" t="str">
        <f t="shared" si="3"/>
        <v/>
      </c>
      <c r="T58" s="767" t="str">
        <f t="shared" si="4"/>
        <v/>
      </c>
      <c r="U58" s="767">
        <f t="shared" si="5"/>
        <v>0</v>
      </c>
      <c r="V58" s="767"/>
      <c r="W58" s="768"/>
      <c r="X58" s="768"/>
      <c r="Y58" s="768"/>
      <c r="Z58" s="768"/>
      <c r="AA58" s="768"/>
    </row>
    <row r="59" spans="2:27" s="769" customFormat="1" x14ac:dyDescent="0.2">
      <c r="B59" s="816" t="s">
        <v>615</v>
      </c>
      <c r="C59" s="3027"/>
      <c r="D59" s="3028"/>
      <c r="E59" s="3029"/>
      <c r="F59" s="759"/>
      <c r="G59" s="817">
        <v>80</v>
      </c>
      <c r="H59" s="760">
        <f>(G59*F59)/2</f>
        <v>0</v>
      </c>
      <c r="I59" s="761">
        <f>H59/15</f>
        <v>0</v>
      </c>
      <c r="J59" s="770"/>
      <c r="K59" s="1502"/>
      <c r="L59" s="1502"/>
      <c r="M59" s="3024"/>
      <c r="N59" s="3025"/>
      <c r="O59" s="3025"/>
      <c r="P59" s="3026"/>
      <c r="Q59" s="793"/>
      <c r="R59" s="793"/>
      <c r="S59" s="767" t="str">
        <f t="shared" si="3"/>
        <v/>
      </c>
      <c r="T59" s="767" t="str">
        <f t="shared" si="4"/>
        <v/>
      </c>
      <c r="U59" s="767">
        <f t="shared" si="5"/>
        <v>0</v>
      </c>
      <c r="V59" s="767"/>
      <c r="W59" s="768"/>
      <c r="X59" s="768"/>
      <c r="Y59" s="768"/>
      <c r="Z59" s="768"/>
      <c r="AA59" s="768"/>
    </row>
    <row r="60" spans="2:27" s="755" customFormat="1" x14ac:dyDescent="0.2">
      <c r="B60" s="795"/>
      <c r="C60" s="796"/>
      <c r="D60" s="818"/>
      <c r="E60" s="818"/>
      <c r="F60" s="798" t="s">
        <v>283</v>
      </c>
      <c r="G60" s="819"/>
      <c r="H60" s="820">
        <f>SUM(H55:H59)</f>
        <v>0</v>
      </c>
      <c r="I60" s="821">
        <f>SUM(I55:I59)</f>
        <v>0</v>
      </c>
      <c r="J60" s="822"/>
      <c r="K60" s="823"/>
      <c r="L60" s="823"/>
      <c r="M60" s="824">
        <f>SUM(U55:U59)</f>
        <v>0</v>
      </c>
      <c r="N60" s="824"/>
      <c r="O60" s="823"/>
      <c r="P60" s="825"/>
      <c r="Q60" s="783"/>
      <c r="R60" s="783"/>
      <c r="S60" s="767"/>
      <c r="T60" s="754"/>
      <c r="U60" s="754"/>
      <c r="V60" s="735"/>
      <c r="W60" s="754"/>
      <c r="X60" s="754"/>
      <c r="Y60" s="754"/>
      <c r="Z60" s="754"/>
      <c r="AA60" s="754"/>
    </row>
    <row r="61" spans="2:27" s="842" customFormat="1" ht="12.75" customHeight="1" x14ac:dyDescent="0.2">
      <c r="B61" s="835"/>
      <c r="C61" s="836"/>
      <c r="D61" s="836"/>
      <c r="E61" s="836"/>
      <c r="F61" s="836"/>
      <c r="G61" s="837"/>
      <c r="H61" s="838"/>
      <c r="I61" s="838"/>
      <c r="J61" s="838"/>
      <c r="K61" s="838"/>
      <c r="L61" s="838"/>
      <c r="M61" s="838"/>
      <c r="N61" s="838"/>
      <c r="O61" s="838"/>
      <c r="P61" s="839"/>
      <c r="Q61" s="834"/>
      <c r="R61" s="834"/>
      <c r="S61" s="767"/>
      <c r="T61" s="840"/>
      <c r="U61" s="840"/>
      <c r="V61" s="841"/>
      <c r="W61" s="840"/>
      <c r="X61" s="840"/>
      <c r="Y61" s="840"/>
      <c r="Z61" s="840"/>
      <c r="AA61" s="840"/>
    </row>
    <row r="62" spans="2:27" s="725" customFormat="1" ht="21" customHeight="1" x14ac:dyDescent="0.2">
      <c r="B62" s="2076" t="s">
        <v>1014</v>
      </c>
      <c r="C62" s="2077"/>
      <c r="D62" s="2078"/>
      <c r="E62" s="2078"/>
      <c r="F62" s="2078"/>
      <c r="G62" s="2079"/>
      <c r="H62" s="2079"/>
      <c r="I62" s="1384"/>
      <c r="J62" s="3042" t="s">
        <v>425</v>
      </c>
      <c r="K62" s="3043"/>
      <c r="L62" s="3043"/>
      <c r="M62" s="3043"/>
      <c r="N62" s="3043"/>
      <c r="O62" s="3043"/>
      <c r="P62" s="3044"/>
      <c r="Q62" s="722"/>
      <c r="R62" s="722"/>
      <c r="S62" s="1039"/>
      <c r="T62" s="723"/>
      <c r="U62" s="723"/>
      <c r="V62" s="724"/>
      <c r="W62" s="723"/>
      <c r="X62" s="723"/>
      <c r="Y62" s="723"/>
      <c r="Z62" s="723"/>
      <c r="AA62" s="723"/>
    </row>
    <row r="63" spans="2:27" s="736" customFormat="1" ht="12.75" customHeight="1" x14ac:dyDescent="0.2">
      <c r="B63" s="726"/>
      <c r="C63" s="727" t="s">
        <v>555</v>
      </c>
      <c r="D63" s="3010" t="s">
        <v>1015</v>
      </c>
      <c r="E63" s="727" t="s">
        <v>586</v>
      </c>
      <c r="F63" s="728" t="s">
        <v>556</v>
      </c>
      <c r="G63" s="1431" t="s">
        <v>443</v>
      </c>
      <c r="H63" s="729" t="s">
        <v>443</v>
      </c>
      <c r="I63" s="730" t="s">
        <v>443</v>
      </c>
      <c r="J63" s="731" t="s">
        <v>587</v>
      </c>
      <c r="K63" s="732" t="s">
        <v>588</v>
      </c>
      <c r="L63" s="732" t="s">
        <v>589</v>
      </c>
      <c r="M63" s="3018" t="s">
        <v>590</v>
      </c>
      <c r="N63" s="3019"/>
      <c r="O63" s="3019"/>
      <c r="P63" s="3020"/>
      <c r="Q63" s="733"/>
      <c r="R63" s="733"/>
      <c r="S63" s="734"/>
      <c r="T63" s="734"/>
      <c r="U63" s="734"/>
      <c r="V63" s="735"/>
      <c r="W63" s="734"/>
      <c r="X63" s="734"/>
      <c r="Y63" s="734"/>
      <c r="Z63" s="734"/>
      <c r="AA63" s="734"/>
    </row>
    <row r="64" spans="2:27" s="747" customFormat="1" x14ac:dyDescent="0.2">
      <c r="B64" s="737"/>
      <c r="C64" s="1416"/>
      <c r="D64" s="3011"/>
      <c r="E64" s="739"/>
      <c r="F64" s="739" t="s">
        <v>558</v>
      </c>
      <c r="G64" s="1432" t="s">
        <v>591</v>
      </c>
      <c r="H64" s="740" t="s">
        <v>445</v>
      </c>
      <c r="I64" s="741" t="s">
        <v>315</v>
      </c>
      <c r="J64" s="742" t="s">
        <v>592</v>
      </c>
      <c r="K64" s="743" t="s">
        <v>1018</v>
      </c>
      <c r="L64" s="785" t="s">
        <v>1018</v>
      </c>
      <c r="M64" s="3109"/>
      <c r="N64" s="3110"/>
      <c r="O64" s="3110"/>
      <c r="P64" s="3111"/>
      <c r="Q64" s="744"/>
      <c r="R64" s="744"/>
      <c r="S64" s="1050"/>
      <c r="T64" s="1050"/>
      <c r="U64" s="745"/>
      <c r="V64" s="746"/>
      <c r="W64" s="745"/>
      <c r="X64" s="745"/>
      <c r="Y64" s="745"/>
      <c r="Z64" s="745"/>
      <c r="AA64" s="745"/>
    </row>
    <row r="65" spans="2:27" s="755" customFormat="1" x14ac:dyDescent="0.2">
      <c r="B65" s="748"/>
      <c r="C65" s="749" t="s">
        <v>989</v>
      </c>
      <c r="D65" s="750"/>
      <c r="E65" s="750"/>
      <c r="F65" s="750"/>
      <c r="G65" s="751"/>
      <c r="H65" s="751"/>
      <c r="I65" s="752"/>
      <c r="J65" s="3012" t="s">
        <v>1203</v>
      </c>
      <c r="K65" s="3013"/>
      <c r="L65" s="3013"/>
      <c r="M65" s="3013"/>
      <c r="N65" s="3013"/>
      <c r="O65" s="3013"/>
      <c r="P65" s="3014"/>
      <c r="Q65" s="753"/>
      <c r="R65" s="753"/>
      <c r="S65" s="1051">
        <v>242431</v>
      </c>
      <c r="T65" s="1051">
        <v>242796</v>
      </c>
      <c r="U65" s="754"/>
      <c r="V65" s="735"/>
      <c r="W65" s="754"/>
      <c r="X65" s="754"/>
      <c r="Y65" s="754"/>
      <c r="Z65" s="754"/>
      <c r="AA65" s="754"/>
    </row>
    <row r="66" spans="2:27" s="769" customFormat="1" x14ac:dyDescent="0.2">
      <c r="B66" s="756" t="s">
        <v>593</v>
      </c>
      <c r="C66" s="1383"/>
      <c r="D66" s="758"/>
      <c r="E66" s="759"/>
      <c r="F66" s="759"/>
      <c r="G66" s="1434">
        <f>H66*2</f>
        <v>0</v>
      </c>
      <c r="H66" s="760">
        <f>I66*15</f>
        <v>0</v>
      </c>
      <c r="I66" s="761">
        <f>IF(W66&gt;35,35/2,W66/2)</f>
        <v>0</v>
      </c>
      <c r="J66" s="762"/>
      <c r="K66" s="1501"/>
      <c r="L66" s="1501"/>
      <c r="M66" s="3024"/>
      <c r="N66" s="3025"/>
      <c r="O66" s="3025"/>
      <c r="P66" s="3026"/>
      <c r="Q66" s="766"/>
      <c r="R66" s="766"/>
      <c r="S66" s="767" t="str">
        <f>IF(K66&lt;&gt;"",IF(AND(K66&lt;=$S$21),0,1),"")</f>
        <v/>
      </c>
      <c r="T66" s="767" t="str">
        <f>IF(L66&lt;&gt;"",IF(AND(L66&gt;=$S$21,L66&lt;=$T$21),1,IF(L66&gt;$T$21,1,0)),"")</f>
        <v/>
      </c>
      <c r="U66" s="767">
        <f>IF(AND(S66=0,T66=1),1,IF(AND(S66=1,T66=1),1,0))</f>
        <v>0</v>
      </c>
      <c r="V66" s="767">
        <f>IF(OR(D66="",D66=0,E66="",E66=0,F66="",F66=0),0,D66*(F66/100))</f>
        <v>0</v>
      </c>
      <c r="W66" s="768">
        <f>IF(V66&gt;=200000,((TRUNC(V66/200000,0)*100000)*0.000005)+10.5,IF(V66&gt;=110000,(170+TRUNC(((V66-20000)/30000),0)*30)/30,IF(V66&gt;=50000,(110+TRUNC(((V66-10000)/20000),0)*30)/30,IF(V66&gt;0,(20+TRUNC((V66/10000),0)*30)/30,0))))</f>
        <v>0</v>
      </c>
      <c r="X66" s="768"/>
      <c r="Y66" s="768"/>
      <c r="Z66" s="768"/>
      <c r="AA66" s="768"/>
    </row>
    <row r="67" spans="2:27" s="769" customFormat="1" x14ac:dyDescent="0.2">
      <c r="B67" s="756" t="s">
        <v>594</v>
      </c>
      <c r="C67" s="1415"/>
      <c r="D67" s="758"/>
      <c r="E67" s="759"/>
      <c r="F67" s="759"/>
      <c r="G67" s="1434">
        <f t="shared" ref="G67:G70" si="13">H67*2</f>
        <v>0</v>
      </c>
      <c r="H67" s="760">
        <f t="shared" ref="H67:H70" si="14">I67*15</f>
        <v>0</v>
      </c>
      <c r="I67" s="761">
        <f t="shared" ref="I67:I69" si="15">IF(W67&gt;35,35/2,W67/2)</f>
        <v>0</v>
      </c>
      <c r="J67" s="770"/>
      <c r="K67" s="1502"/>
      <c r="L67" s="1502"/>
      <c r="M67" s="3024"/>
      <c r="N67" s="3025"/>
      <c r="O67" s="3025"/>
      <c r="P67" s="3026"/>
      <c r="Q67" s="766"/>
      <c r="R67" s="766"/>
      <c r="S67" s="767" t="str">
        <f t="shared" ref="S67:S70" si="16">IF(K67&lt;&gt;"",IF(AND(K67&lt;=$S$21),0,1),"")</f>
        <v/>
      </c>
      <c r="T67" s="767" t="str">
        <f t="shared" ref="T67:T70" si="17">IF(L67&lt;&gt;"",IF(AND(L67&gt;=$S$21,L67&lt;=$T$21),1,IF(L67&gt;$T$21,1,0)),"")</f>
        <v/>
      </c>
      <c r="U67" s="767">
        <f t="shared" ref="U67:U69" si="18">IF(AND(S67=0,T67=1),1,IF(AND(S67=1,T67=1),1,0))</f>
        <v>0</v>
      </c>
      <c r="V67" s="767">
        <f t="shared" ref="V67:V70" si="19">IF(OR(D67="",D67=0,E67="",E67=0,F67="",F67=0),0,D67*(F67/100))</f>
        <v>0</v>
      </c>
      <c r="W67" s="768">
        <f t="shared" ref="W67:W70" si="20">IF(V67&gt;=200000,((TRUNC(V67/200000,0)*100000)*0.000005)+10.5,IF(V67&gt;=110000,(170+TRUNC(((V67-20000)/30000),0)*30)/30,IF(V67&gt;=50000,(110+TRUNC(((V67-10000)/20000),0)*30)/30,IF(V67&gt;0,(20+TRUNC((V67/10000),0)*30)/30,0))))</f>
        <v>0</v>
      </c>
      <c r="X67" s="768"/>
      <c r="Y67" s="768"/>
      <c r="Z67" s="768"/>
      <c r="AA67" s="768"/>
    </row>
    <row r="68" spans="2:27" s="769" customFormat="1" x14ac:dyDescent="0.2">
      <c r="B68" s="756" t="s">
        <v>595</v>
      </c>
      <c r="C68" s="1415"/>
      <c r="D68" s="758"/>
      <c r="E68" s="759"/>
      <c r="F68" s="759"/>
      <c r="G68" s="1434">
        <f t="shared" si="13"/>
        <v>0</v>
      </c>
      <c r="H68" s="760">
        <f t="shared" si="14"/>
        <v>0</v>
      </c>
      <c r="I68" s="761">
        <f t="shared" si="15"/>
        <v>0</v>
      </c>
      <c r="J68" s="770"/>
      <c r="K68" s="1502"/>
      <c r="L68" s="1502"/>
      <c r="M68" s="3024"/>
      <c r="N68" s="3025"/>
      <c r="O68" s="3025"/>
      <c r="P68" s="3026"/>
      <c r="Q68" s="766"/>
      <c r="R68" s="766"/>
      <c r="S68" s="767" t="str">
        <f t="shared" si="16"/>
        <v/>
      </c>
      <c r="T68" s="767" t="str">
        <f t="shared" si="17"/>
        <v/>
      </c>
      <c r="U68" s="767">
        <f t="shared" si="18"/>
        <v>0</v>
      </c>
      <c r="V68" s="767">
        <f t="shared" si="19"/>
        <v>0</v>
      </c>
      <c r="W68" s="768">
        <f t="shared" si="20"/>
        <v>0</v>
      </c>
      <c r="X68" s="768"/>
      <c r="Y68" s="768"/>
      <c r="Z68" s="768"/>
      <c r="AA68" s="768"/>
    </row>
    <row r="69" spans="2:27" s="769" customFormat="1" x14ac:dyDescent="0.2">
      <c r="B69" s="756" t="s">
        <v>596</v>
      </c>
      <c r="C69" s="1415"/>
      <c r="D69" s="758"/>
      <c r="E69" s="759"/>
      <c r="F69" s="759"/>
      <c r="G69" s="1434">
        <f t="shared" si="13"/>
        <v>0</v>
      </c>
      <c r="H69" s="760">
        <f t="shared" si="14"/>
        <v>0</v>
      </c>
      <c r="I69" s="761">
        <f t="shared" si="15"/>
        <v>0</v>
      </c>
      <c r="J69" s="770"/>
      <c r="K69" s="1502"/>
      <c r="L69" s="1502"/>
      <c r="M69" s="3024"/>
      <c r="N69" s="3025"/>
      <c r="O69" s="3025"/>
      <c r="P69" s="3026"/>
      <c r="Q69" s="766"/>
      <c r="R69" s="766"/>
      <c r="S69" s="767" t="str">
        <f t="shared" si="16"/>
        <v/>
      </c>
      <c r="T69" s="767" t="str">
        <f t="shared" si="17"/>
        <v/>
      </c>
      <c r="U69" s="767">
        <f t="shared" si="18"/>
        <v>0</v>
      </c>
      <c r="V69" s="767">
        <f t="shared" si="19"/>
        <v>0</v>
      </c>
      <c r="W69" s="768">
        <f t="shared" si="20"/>
        <v>0</v>
      </c>
      <c r="X69" s="768"/>
      <c r="Y69" s="768"/>
      <c r="Z69" s="768"/>
      <c r="AA69" s="768"/>
    </row>
    <row r="70" spans="2:27" s="769" customFormat="1" x14ac:dyDescent="0.2">
      <c r="B70" s="756" t="s">
        <v>597</v>
      </c>
      <c r="C70" s="1415"/>
      <c r="D70" s="758"/>
      <c r="E70" s="759"/>
      <c r="F70" s="759"/>
      <c r="G70" s="1434">
        <f t="shared" si="13"/>
        <v>0</v>
      </c>
      <c r="H70" s="760">
        <f t="shared" si="14"/>
        <v>0</v>
      </c>
      <c r="I70" s="761">
        <f>IF(W70&gt;35,35/2,W70/2)</f>
        <v>0</v>
      </c>
      <c r="J70" s="770"/>
      <c r="K70" s="1502"/>
      <c r="L70" s="1502"/>
      <c r="M70" s="3024"/>
      <c r="N70" s="3025"/>
      <c r="O70" s="3025"/>
      <c r="P70" s="3026"/>
      <c r="Q70" s="766"/>
      <c r="R70" s="766"/>
      <c r="S70" s="767" t="str">
        <f t="shared" si="16"/>
        <v/>
      </c>
      <c r="T70" s="767" t="str">
        <f t="shared" si="17"/>
        <v/>
      </c>
      <c r="U70" s="767">
        <f>IF(AND(S70=0,T70=1),1,IF(AND(S70=1,T70=1),1,0))</f>
        <v>0</v>
      </c>
      <c r="V70" s="767">
        <f t="shared" si="19"/>
        <v>0</v>
      </c>
      <c r="W70" s="768">
        <f t="shared" si="20"/>
        <v>0</v>
      </c>
      <c r="X70" s="768"/>
      <c r="Y70" s="768"/>
      <c r="Z70" s="768"/>
      <c r="AA70" s="768"/>
    </row>
    <row r="71" spans="2:27" s="755" customFormat="1" x14ac:dyDescent="0.2">
      <c r="B71" s="771"/>
      <c r="C71" s="772"/>
      <c r="D71" s="773"/>
      <c r="E71" s="773"/>
      <c r="F71" s="774" t="s">
        <v>283</v>
      </c>
      <c r="G71" s="775"/>
      <c r="H71" s="776">
        <f>SUM(H66:H70)</f>
        <v>0</v>
      </c>
      <c r="I71" s="777">
        <f>SUM(I66:I70)</f>
        <v>0</v>
      </c>
      <c r="J71" s="778"/>
      <c r="K71" s="776"/>
      <c r="L71" s="779"/>
      <c r="M71" s="780">
        <f>SUM(U66:U70)</f>
        <v>0</v>
      </c>
      <c r="N71" s="1181"/>
      <c r="O71" s="781"/>
      <c r="P71" s="782"/>
      <c r="Q71" s="783"/>
      <c r="R71" s="783"/>
      <c r="S71" s="767"/>
      <c r="T71" s="767"/>
      <c r="U71" s="767"/>
      <c r="V71" s="735"/>
      <c r="W71" s="754"/>
      <c r="X71" s="754"/>
      <c r="Y71" s="754"/>
      <c r="Z71" s="754"/>
      <c r="AA71" s="754"/>
    </row>
    <row r="72" spans="2:27" s="736" customFormat="1" ht="12.75" customHeight="1" x14ac:dyDescent="0.2">
      <c r="B72" s="726"/>
      <c r="C72" s="727" t="s">
        <v>555</v>
      </c>
      <c r="D72" s="3010" t="s">
        <v>1015</v>
      </c>
      <c r="E72" s="727" t="s">
        <v>586</v>
      </c>
      <c r="F72" s="728" t="s">
        <v>556</v>
      </c>
      <c r="G72" s="729" t="s">
        <v>443</v>
      </c>
      <c r="H72" s="729" t="s">
        <v>443</v>
      </c>
      <c r="I72" s="730" t="s">
        <v>443</v>
      </c>
      <c r="J72" s="726" t="s">
        <v>587</v>
      </c>
      <c r="K72" s="728" t="s">
        <v>588</v>
      </c>
      <c r="L72" s="728" t="s">
        <v>589</v>
      </c>
      <c r="M72" s="3018" t="s">
        <v>590</v>
      </c>
      <c r="N72" s="3019"/>
      <c r="O72" s="3019"/>
      <c r="P72" s="3020"/>
      <c r="Q72" s="733"/>
      <c r="R72" s="733"/>
      <c r="S72" s="767"/>
      <c r="T72" s="767"/>
      <c r="U72" s="767"/>
      <c r="V72" s="735"/>
      <c r="W72" s="734"/>
      <c r="X72" s="734"/>
      <c r="Y72" s="734"/>
      <c r="Z72" s="734"/>
      <c r="AA72" s="734"/>
    </row>
    <row r="73" spans="2:27" s="747" customFormat="1" x14ac:dyDescent="0.2">
      <c r="B73" s="737"/>
      <c r="C73" s="1416"/>
      <c r="D73" s="3011"/>
      <c r="E73" s="739"/>
      <c r="F73" s="739" t="s">
        <v>558</v>
      </c>
      <c r="G73" s="740" t="s">
        <v>591</v>
      </c>
      <c r="H73" s="740" t="s">
        <v>445</v>
      </c>
      <c r="I73" s="741" t="s">
        <v>315</v>
      </c>
      <c r="J73" s="784" t="s">
        <v>592</v>
      </c>
      <c r="K73" s="785" t="s">
        <v>1018</v>
      </c>
      <c r="L73" s="785" t="s">
        <v>1018</v>
      </c>
      <c r="M73" s="3015"/>
      <c r="N73" s="3016"/>
      <c r="O73" s="3016"/>
      <c r="P73" s="3017"/>
      <c r="Q73" s="744"/>
      <c r="R73" s="744"/>
      <c r="S73" s="767"/>
      <c r="T73" s="767"/>
      <c r="U73" s="767"/>
      <c r="V73" s="746"/>
      <c r="W73" s="745"/>
      <c r="X73" s="745"/>
      <c r="Y73" s="745"/>
      <c r="Z73" s="745"/>
      <c r="AA73" s="745"/>
    </row>
    <row r="74" spans="2:27" s="755" customFormat="1" x14ac:dyDescent="0.2">
      <c r="B74" s="786"/>
      <c r="C74" s="787" t="s">
        <v>608</v>
      </c>
      <c r="D74" s="788"/>
      <c r="E74" s="788"/>
      <c r="F74" s="788"/>
      <c r="G74" s="751"/>
      <c r="H74" s="789"/>
      <c r="I74" s="790"/>
      <c r="J74" s="3012" t="s">
        <v>1203</v>
      </c>
      <c r="K74" s="3013"/>
      <c r="L74" s="3013"/>
      <c r="M74" s="3013"/>
      <c r="N74" s="3013"/>
      <c r="O74" s="3013"/>
      <c r="P74" s="3014"/>
      <c r="Q74" s="791"/>
      <c r="R74" s="791"/>
      <c r="S74" s="767"/>
      <c r="T74" s="767"/>
      <c r="U74" s="767"/>
      <c r="V74" s="735"/>
      <c r="W74" s="754"/>
      <c r="X74" s="754"/>
      <c r="Y74" s="754"/>
      <c r="Z74" s="754"/>
      <c r="AA74" s="754"/>
    </row>
    <row r="75" spans="2:27" s="769" customFormat="1" x14ac:dyDescent="0.2">
      <c r="B75" s="756" t="s">
        <v>593</v>
      </c>
      <c r="C75" s="1415"/>
      <c r="D75" s="758"/>
      <c r="E75" s="759"/>
      <c r="F75" s="759"/>
      <c r="G75" s="1434">
        <f>H75*2</f>
        <v>0</v>
      </c>
      <c r="H75" s="760">
        <f>I75*15</f>
        <v>0</v>
      </c>
      <c r="I75" s="761">
        <f>IF(W75&gt;35,35/2,W75/2)</f>
        <v>0</v>
      </c>
      <c r="J75" s="792"/>
      <c r="K75" s="1501"/>
      <c r="L75" s="1504"/>
      <c r="M75" s="3021"/>
      <c r="N75" s="3022"/>
      <c r="O75" s="3022"/>
      <c r="P75" s="3023"/>
      <c r="Q75" s="793"/>
      <c r="R75" s="793"/>
      <c r="S75" s="767" t="str">
        <f t="shared" ref="S75:S79" si="21">IF(K75&lt;&gt;"",IF(AND(K75&lt;=$S$21),0,1),"")</f>
        <v/>
      </c>
      <c r="T75" s="767" t="str">
        <f t="shared" ref="T75:T79" si="22">IF(L75&lt;&gt;"",IF(AND(L75&gt;=$S$21,L75&lt;=$T$21),1,IF(L75&gt;$T$21,1,0)),"")</f>
        <v/>
      </c>
      <c r="U75" s="767">
        <f t="shared" ref="U75:U79" si="23">IF(AND(S75=0,T75=1),1,IF(AND(S75=1,T75=1),1,0))</f>
        <v>0</v>
      </c>
      <c r="V75" s="767">
        <f>IF(OR(D75="",D75=0,E75="",E75=0,F75="",F75=0),0,D75*(F75/100))</f>
        <v>0</v>
      </c>
      <c r="W75" s="768">
        <f>IF(V75&gt;=100000,((TRUNC(V75/100000,0)*100000)*0.000005)+10.5,IF(V75&gt;=55000,(170+TRUNC(((V75-10000)/15000),0)*30)/30,IF(V75&gt;=25000,(110+TRUNC(((V75-5000)/10000),0)*30)/30,IF(V75&gt;0,(20+TRUNC((V75/5000),0)*30)/30,0))))</f>
        <v>0</v>
      </c>
      <c r="X75" s="768"/>
      <c r="Y75" s="768"/>
      <c r="Z75" s="768"/>
      <c r="AA75" s="768"/>
    </row>
    <row r="76" spans="2:27" s="769" customFormat="1" x14ac:dyDescent="0.2">
      <c r="B76" s="756" t="s">
        <v>594</v>
      </c>
      <c r="C76" s="1415"/>
      <c r="D76" s="758"/>
      <c r="E76" s="759"/>
      <c r="F76" s="759"/>
      <c r="G76" s="1434">
        <f t="shared" ref="G76:G79" si="24">H76*2</f>
        <v>0</v>
      </c>
      <c r="H76" s="760">
        <f t="shared" ref="H76:H79" si="25">I76*15</f>
        <v>0</v>
      </c>
      <c r="I76" s="761">
        <f t="shared" ref="I76:I78" si="26">IF(W76&gt;35,35/2,W76/2)</f>
        <v>0</v>
      </c>
      <c r="J76" s="794"/>
      <c r="K76" s="1502"/>
      <c r="L76" s="1505"/>
      <c r="M76" s="3024"/>
      <c r="N76" s="3025"/>
      <c r="O76" s="3025"/>
      <c r="P76" s="3026"/>
      <c r="Q76" s="793"/>
      <c r="R76" s="793"/>
      <c r="S76" s="767" t="str">
        <f t="shared" si="21"/>
        <v/>
      </c>
      <c r="T76" s="767" t="str">
        <f t="shared" si="22"/>
        <v/>
      </c>
      <c r="U76" s="767">
        <f t="shared" si="23"/>
        <v>0</v>
      </c>
      <c r="V76" s="767">
        <f t="shared" ref="V76:V79" si="27">IF(OR(D76="",D76=0,E76="",E76=0,F76="",F76=0),0,D76*(F76/100))</f>
        <v>0</v>
      </c>
      <c r="W76" s="768">
        <f t="shared" ref="W76:W79" si="28">IF(V76&gt;=100000,((TRUNC(V76/100000,0)*100000)*0.000005)+10.5,IF(V76&gt;=55000,(170+TRUNC(((V76-10000)/15000),0)*30)/30,IF(V76&gt;=25000,(110+TRUNC(((V76-5000)/10000),0)*30)/30,IF(V76&gt;0,(20+TRUNC((V76/5000),0)*30)/30,0))))</f>
        <v>0</v>
      </c>
      <c r="X76" s="768"/>
      <c r="Y76" s="768"/>
      <c r="Z76" s="768"/>
      <c r="AA76" s="768"/>
    </row>
    <row r="77" spans="2:27" s="769" customFormat="1" x14ac:dyDescent="0.2">
      <c r="B77" s="756" t="s">
        <v>595</v>
      </c>
      <c r="C77" s="1415"/>
      <c r="D77" s="758"/>
      <c r="E77" s="759"/>
      <c r="F77" s="759"/>
      <c r="G77" s="1434">
        <f t="shared" si="24"/>
        <v>0</v>
      </c>
      <c r="H77" s="760">
        <f t="shared" si="25"/>
        <v>0</v>
      </c>
      <c r="I77" s="761">
        <f t="shared" si="26"/>
        <v>0</v>
      </c>
      <c r="J77" s="794"/>
      <c r="K77" s="1502"/>
      <c r="L77" s="1505"/>
      <c r="M77" s="3024"/>
      <c r="N77" s="3025"/>
      <c r="O77" s="3025"/>
      <c r="P77" s="3026"/>
      <c r="Q77" s="793"/>
      <c r="R77" s="793"/>
      <c r="S77" s="767" t="str">
        <f t="shared" si="21"/>
        <v/>
      </c>
      <c r="T77" s="767" t="str">
        <f t="shared" si="22"/>
        <v/>
      </c>
      <c r="U77" s="767">
        <f t="shared" si="23"/>
        <v>0</v>
      </c>
      <c r="V77" s="767">
        <f t="shared" si="27"/>
        <v>0</v>
      </c>
      <c r="W77" s="768">
        <f t="shared" si="28"/>
        <v>0</v>
      </c>
      <c r="X77" s="768"/>
      <c r="Y77" s="768"/>
      <c r="Z77" s="768"/>
      <c r="AA77" s="768"/>
    </row>
    <row r="78" spans="2:27" s="769" customFormat="1" x14ac:dyDescent="0.2">
      <c r="B78" s="756" t="s">
        <v>596</v>
      </c>
      <c r="C78" s="1415"/>
      <c r="D78" s="758"/>
      <c r="E78" s="759"/>
      <c r="F78" s="759"/>
      <c r="G78" s="1434">
        <f t="shared" si="24"/>
        <v>0</v>
      </c>
      <c r="H78" s="760">
        <f t="shared" si="25"/>
        <v>0</v>
      </c>
      <c r="I78" s="761">
        <f t="shared" si="26"/>
        <v>0</v>
      </c>
      <c r="J78" s="794"/>
      <c r="K78" s="1502"/>
      <c r="L78" s="1505"/>
      <c r="M78" s="3024"/>
      <c r="N78" s="3025"/>
      <c r="O78" s="3025"/>
      <c r="P78" s="3026"/>
      <c r="Q78" s="793"/>
      <c r="R78" s="793"/>
      <c r="S78" s="767" t="str">
        <f t="shared" si="21"/>
        <v/>
      </c>
      <c r="T78" s="767" t="str">
        <f t="shared" si="22"/>
        <v/>
      </c>
      <c r="U78" s="767">
        <f t="shared" si="23"/>
        <v>0</v>
      </c>
      <c r="V78" s="767">
        <f t="shared" si="27"/>
        <v>0</v>
      </c>
      <c r="W78" s="768">
        <f t="shared" si="28"/>
        <v>0</v>
      </c>
      <c r="X78" s="768"/>
      <c r="Y78" s="768"/>
      <c r="Z78" s="768"/>
      <c r="AA78" s="768"/>
    </row>
    <row r="79" spans="2:27" s="769" customFormat="1" x14ac:dyDescent="0.2">
      <c r="B79" s="756" t="s">
        <v>597</v>
      </c>
      <c r="C79" s="1415"/>
      <c r="D79" s="758"/>
      <c r="E79" s="759"/>
      <c r="F79" s="759"/>
      <c r="G79" s="1434">
        <f t="shared" si="24"/>
        <v>0</v>
      </c>
      <c r="H79" s="760">
        <f t="shared" si="25"/>
        <v>0</v>
      </c>
      <c r="I79" s="761">
        <f>IF(W79&gt;35,35/2,W79/2)</f>
        <v>0</v>
      </c>
      <c r="J79" s="794"/>
      <c r="K79" s="1502"/>
      <c r="L79" s="1505"/>
      <c r="M79" s="3024"/>
      <c r="N79" s="3025"/>
      <c r="O79" s="3025"/>
      <c r="P79" s="3026"/>
      <c r="Q79" s="793"/>
      <c r="R79" s="793"/>
      <c r="S79" s="767" t="str">
        <f t="shared" si="21"/>
        <v/>
      </c>
      <c r="T79" s="767" t="str">
        <f t="shared" si="22"/>
        <v/>
      </c>
      <c r="U79" s="767">
        <f t="shared" si="23"/>
        <v>0</v>
      </c>
      <c r="V79" s="767">
        <f t="shared" si="27"/>
        <v>0</v>
      </c>
      <c r="W79" s="768">
        <f t="shared" si="28"/>
        <v>0</v>
      </c>
      <c r="X79" s="768"/>
      <c r="Y79" s="768"/>
      <c r="Z79" s="768"/>
      <c r="AA79" s="768"/>
    </row>
    <row r="80" spans="2:27" s="755" customFormat="1" x14ac:dyDescent="0.2">
      <c r="B80" s="795"/>
      <c r="C80" s="796"/>
      <c r="D80" s="797"/>
      <c r="E80" s="797"/>
      <c r="F80" s="798" t="s">
        <v>283</v>
      </c>
      <c r="G80" s="799"/>
      <c r="H80" s="800">
        <f>SUM(H75:H79)</f>
        <v>0</v>
      </c>
      <c r="I80" s="801">
        <f>SUM(I75:I79)</f>
        <v>0</v>
      </c>
      <c r="J80" s="802"/>
      <c r="K80" s="803"/>
      <c r="L80" s="803"/>
      <c r="M80" s="804">
        <f>SUM(U75:U79)</f>
        <v>0</v>
      </c>
      <c r="N80" s="804"/>
      <c r="O80" s="803"/>
      <c r="P80" s="805"/>
      <c r="Q80" s="806"/>
      <c r="R80" s="806"/>
      <c r="S80" s="767"/>
      <c r="T80" s="767"/>
      <c r="U80" s="767"/>
      <c r="V80" s="735"/>
      <c r="W80" s="754"/>
      <c r="X80" s="754"/>
      <c r="Y80" s="754"/>
      <c r="Z80" s="754"/>
      <c r="AA80" s="754"/>
    </row>
    <row r="81" spans="2:27" s="755" customFormat="1" ht="21" customHeight="1" x14ac:dyDescent="0.2">
      <c r="B81" s="826"/>
      <c r="C81" s="827"/>
      <c r="D81" s="827"/>
      <c r="E81" s="827"/>
      <c r="F81" s="827"/>
      <c r="G81" s="828" t="s">
        <v>616</v>
      </c>
      <c r="H81" s="829">
        <f>H51+H37+H60+H71+H80</f>
        <v>0</v>
      </c>
      <c r="I81" s="830">
        <f>I51+I37+I60+I71+I80</f>
        <v>0</v>
      </c>
      <c r="J81" s="831"/>
      <c r="K81" s="832"/>
      <c r="L81" s="832"/>
      <c r="M81" s="832"/>
      <c r="N81" s="832"/>
      <c r="O81" s="832"/>
      <c r="P81" s="833"/>
      <c r="Q81" s="834"/>
      <c r="R81" s="834"/>
      <c r="S81" s="767"/>
      <c r="T81" s="754"/>
      <c r="U81" s="754"/>
      <c r="V81" s="735"/>
      <c r="W81" s="754"/>
      <c r="X81" s="754"/>
      <c r="Y81" s="754"/>
      <c r="Z81" s="754"/>
      <c r="AA81" s="754"/>
    </row>
    <row r="82" spans="2:27" s="842" customFormat="1" ht="12.75" customHeight="1" x14ac:dyDescent="0.2">
      <c r="B82" s="835"/>
      <c r="C82" s="836"/>
      <c r="D82" s="836"/>
      <c r="E82" s="836"/>
      <c r="F82" s="836"/>
      <c r="G82" s="837"/>
      <c r="H82" s="838"/>
      <c r="I82" s="838"/>
      <c r="J82" s="838"/>
      <c r="K82" s="838"/>
      <c r="L82" s="838"/>
      <c r="M82" s="838"/>
      <c r="N82" s="838"/>
      <c r="O82" s="838"/>
      <c r="P82" s="839"/>
      <c r="Q82" s="834"/>
      <c r="R82" s="834"/>
      <c r="S82" s="767"/>
      <c r="T82" s="840"/>
      <c r="U82" s="840"/>
      <c r="V82" s="841"/>
      <c r="W82" s="840"/>
      <c r="X82" s="840"/>
      <c r="Y82" s="840"/>
      <c r="Z82" s="840"/>
      <c r="AA82" s="840"/>
    </row>
    <row r="83" spans="2:27" s="725" customFormat="1" ht="21" customHeight="1" x14ac:dyDescent="0.2">
      <c r="B83" s="719" t="s">
        <v>988</v>
      </c>
      <c r="C83" s="720"/>
      <c r="D83" s="843"/>
      <c r="E83" s="844"/>
      <c r="F83" s="844"/>
      <c r="G83" s="844"/>
      <c r="H83" s="845"/>
      <c r="I83" s="846"/>
      <c r="J83" s="3112" t="s">
        <v>425</v>
      </c>
      <c r="K83" s="3113"/>
      <c r="L83" s="3113"/>
      <c r="M83" s="3113"/>
      <c r="N83" s="3113"/>
      <c r="O83" s="3113"/>
      <c r="P83" s="3114"/>
      <c r="Q83" s="847"/>
      <c r="R83" s="847"/>
      <c r="S83" s="767"/>
      <c r="T83" s="723"/>
      <c r="U83" s="723"/>
      <c r="V83" s="724"/>
      <c r="W83" s="723"/>
      <c r="X83" s="723"/>
      <c r="Y83" s="723"/>
      <c r="Z83" s="723"/>
      <c r="AA83" s="723"/>
    </row>
    <row r="84" spans="2:27" s="736" customFormat="1" ht="12.75" customHeight="1" x14ac:dyDescent="0.2">
      <c r="B84" s="726"/>
      <c r="C84" s="3106" t="s">
        <v>555</v>
      </c>
      <c r="D84" s="3107"/>
      <c r="E84" s="848" t="s">
        <v>586</v>
      </c>
      <c r="F84" s="848" t="s">
        <v>556</v>
      </c>
      <c r="G84" s="729" t="s">
        <v>443</v>
      </c>
      <c r="H84" s="729" t="s">
        <v>443</v>
      </c>
      <c r="I84" s="730" t="s">
        <v>443</v>
      </c>
      <c r="J84" s="726" t="s">
        <v>587</v>
      </c>
      <c r="K84" s="3018" t="s">
        <v>617</v>
      </c>
      <c r="L84" s="3108"/>
      <c r="M84" s="3033" t="s">
        <v>590</v>
      </c>
      <c r="N84" s="3034"/>
      <c r="O84" s="3034"/>
      <c r="P84" s="3035"/>
      <c r="Q84" s="733"/>
      <c r="R84" s="733"/>
      <c r="S84" s="767"/>
      <c r="T84" s="734"/>
      <c r="U84" s="734"/>
      <c r="V84" s="735"/>
      <c r="W84" s="734"/>
      <c r="X84" s="734"/>
      <c r="Y84" s="734"/>
      <c r="Z84" s="734"/>
      <c r="AA84" s="734"/>
    </row>
    <row r="85" spans="2:27" s="747" customFormat="1" x14ac:dyDescent="0.2">
      <c r="B85" s="849"/>
      <c r="C85" s="850"/>
      <c r="D85" s="851"/>
      <c r="E85" s="852"/>
      <c r="F85" s="852" t="s">
        <v>618</v>
      </c>
      <c r="G85" s="853" t="s">
        <v>591</v>
      </c>
      <c r="H85" s="853" t="s">
        <v>445</v>
      </c>
      <c r="I85" s="854" t="s">
        <v>315</v>
      </c>
      <c r="J85" s="784" t="s">
        <v>592</v>
      </c>
      <c r="K85" s="3015" t="s">
        <v>1018</v>
      </c>
      <c r="L85" s="3102"/>
      <c r="M85" s="3015"/>
      <c r="N85" s="3016"/>
      <c r="O85" s="3016"/>
      <c r="P85" s="3017"/>
      <c r="Q85" s="733"/>
      <c r="R85" s="733"/>
      <c r="S85" s="767"/>
      <c r="T85" s="745"/>
      <c r="U85" s="745"/>
      <c r="V85" s="746"/>
      <c r="W85" s="745"/>
      <c r="X85" s="745"/>
      <c r="Y85" s="745"/>
      <c r="Z85" s="745"/>
      <c r="AA85" s="745"/>
    </row>
    <row r="86" spans="2:27" s="747" customFormat="1" x14ac:dyDescent="0.2">
      <c r="B86" s="737"/>
      <c r="C86" s="855"/>
      <c r="D86" s="856"/>
      <c r="E86" s="857"/>
      <c r="F86" s="857"/>
      <c r="G86" s="858"/>
      <c r="H86" s="858"/>
      <c r="I86" s="859"/>
      <c r="J86" s="3103" t="s">
        <v>1204</v>
      </c>
      <c r="K86" s="3104"/>
      <c r="L86" s="3104"/>
      <c r="M86" s="3104"/>
      <c r="N86" s="3104"/>
      <c r="O86" s="3104"/>
      <c r="P86" s="3105"/>
      <c r="Q86" s="791"/>
      <c r="R86" s="791"/>
      <c r="S86" s="767"/>
      <c r="T86" s="745"/>
      <c r="U86" s="745"/>
      <c r="V86" s="746"/>
      <c r="W86" s="745"/>
      <c r="X86" s="745"/>
      <c r="Y86" s="745"/>
      <c r="Z86" s="745"/>
      <c r="AA86" s="745"/>
    </row>
    <row r="87" spans="2:27" s="769" customFormat="1" x14ac:dyDescent="0.2">
      <c r="B87" s="756" t="s">
        <v>593</v>
      </c>
      <c r="C87" s="3027"/>
      <c r="D87" s="3029"/>
      <c r="E87" s="759"/>
      <c r="F87" s="759"/>
      <c r="G87" s="860">
        <f>IF(F87="",45,45*(F87/100))</f>
        <v>45</v>
      </c>
      <c r="H87" s="760">
        <f>IF(AND(C87&lt;&gt;"",F87&lt;&gt;"",F87&lt;&gt;0),G87/2,0)</f>
        <v>0</v>
      </c>
      <c r="I87" s="761">
        <f>H87/15</f>
        <v>0</v>
      </c>
      <c r="J87" s="861"/>
      <c r="K87" s="3092"/>
      <c r="L87" s="3093"/>
      <c r="M87" s="3094"/>
      <c r="N87" s="3095"/>
      <c r="O87" s="3095"/>
      <c r="P87" s="3096"/>
      <c r="Q87" s="862"/>
      <c r="R87" s="862"/>
      <c r="S87" s="767" t="str">
        <f>IF(K87&lt;&gt;"",IF(AND(K87&gt;=$S$21,K87&lt;=$T$21),1,0),"")</f>
        <v/>
      </c>
      <c r="T87" s="768"/>
      <c r="U87" s="768"/>
      <c r="V87" s="767"/>
      <c r="W87" s="768"/>
      <c r="X87" s="768"/>
      <c r="Y87" s="768"/>
      <c r="Z87" s="768"/>
      <c r="AA87" s="768"/>
    </row>
    <row r="88" spans="2:27" s="769" customFormat="1" x14ac:dyDescent="0.2">
      <c r="B88" s="756" t="s">
        <v>594</v>
      </c>
      <c r="C88" s="3027"/>
      <c r="D88" s="3029"/>
      <c r="E88" s="759"/>
      <c r="F88" s="759"/>
      <c r="G88" s="860">
        <f t="shared" ref="G88:G91" si="29">IF(F88="",45,45*(F88/100))</f>
        <v>45</v>
      </c>
      <c r="H88" s="760">
        <f>IF(AND(C88&lt;&gt;"",F88&lt;&gt;"",F88&lt;&gt;0),G88/2,0)</f>
        <v>0</v>
      </c>
      <c r="I88" s="761">
        <f>H88/15</f>
        <v>0</v>
      </c>
      <c r="J88" s="861"/>
      <c r="K88" s="3092"/>
      <c r="L88" s="3093"/>
      <c r="M88" s="3094"/>
      <c r="N88" s="3095"/>
      <c r="O88" s="3095"/>
      <c r="P88" s="3096"/>
      <c r="Q88" s="862"/>
      <c r="R88" s="862"/>
      <c r="S88" s="767" t="str">
        <f t="shared" ref="S88:S91" si="30">IF(K88&lt;&gt;"",IF(AND(K88&gt;=$S$21,K88&lt;=$T$21),1,0),"")</f>
        <v/>
      </c>
      <c r="T88" s="768"/>
      <c r="U88" s="768"/>
      <c r="V88" s="767"/>
      <c r="W88" s="768"/>
      <c r="X88" s="768"/>
      <c r="Y88" s="768"/>
      <c r="Z88" s="768"/>
      <c r="AA88" s="768"/>
    </row>
    <row r="89" spans="2:27" s="769" customFormat="1" x14ac:dyDescent="0.2">
      <c r="B89" s="756" t="s">
        <v>595</v>
      </c>
      <c r="C89" s="3027"/>
      <c r="D89" s="3029"/>
      <c r="E89" s="759"/>
      <c r="F89" s="759"/>
      <c r="G89" s="860">
        <f t="shared" si="29"/>
        <v>45</v>
      </c>
      <c r="H89" s="760">
        <f t="shared" ref="H89:H91" si="31">IF(AND(C89&lt;&gt;"",F89&lt;&gt;"",F89&lt;&gt;0),G89/2,0)</f>
        <v>0</v>
      </c>
      <c r="I89" s="761">
        <f>H89/15</f>
        <v>0</v>
      </c>
      <c r="J89" s="861"/>
      <c r="K89" s="3092"/>
      <c r="L89" s="3093"/>
      <c r="M89" s="3094"/>
      <c r="N89" s="3095"/>
      <c r="O89" s="3095"/>
      <c r="P89" s="3096"/>
      <c r="Q89" s="862"/>
      <c r="R89" s="862"/>
      <c r="S89" s="767" t="str">
        <f t="shared" si="30"/>
        <v/>
      </c>
      <c r="T89" s="768"/>
      <c r="U89" s="768"/>
      <c r="V89" s="767"/>
      <c r="W89" s="768"/>
      <c r="X89" s="768"/>
      <c r="Y89" s="768"/>
      <c r="Z89" s="768"/>
      <c r="AA89" s="768"/>
    </row>
    <row r="90" spans="2:27" s="769" customFormat="1" x14ac:dyDescent="0.2">
      <c r="B90" s="756" t="s">
        <v>596</v>
      </c>
      <c r="C90" s="3027"/>
      <c r="D90" s="3029"/>
      <c r="E90" s="759"/>
      <c r="F90" s="759"/>
      <c r="G90" s="860">
        <f t="shared" si="29"/>
        <v>45</v>
      </c>
      <c r="H90" s="760">
        <f t="shared" si="31"/>
        <v>0</v>
      </c>
      <c r="I90" s="761">
        <f>H90/15</f>
        <v>0</v>
      </c>
      <c r="J90" s="861"/>
      <c r="K90" s="3092"/>
      <c r="L90" s="3093"/>
      <c r="M90" s="3094"/>
      <c r="N90" s="3095"/>
      <c r="O90" s="3095"/>
      <c r="P90" s="3096"/>
      <c r="Q90" s="862"/>
      <c r="R90" s="862"/>
      <c r="S90" s="767" t="str">
        <f t="shared" si="30"/>
        <v/>
      </c>
      <c r="T90" s="768"/>
      <c r="U90" s="768"/>
      <c r="V90" s="767"/>
      <c r="W90" s="768"/>
      <c r="X90" s="768"/>
      <c r="Y90" s="768"/>
      <c r="Z90" s="768"/>
      <c r="AA90" s="768"/>
    </row>
    <row r="91" spans="2:27" s="769" customFormat="1" x14ac:dyDescent="0.2">
      <c r="B91" s="756" t="s">
        <v>597</v>
      </c>
      <c r="C91" s="3027"/>
      <c r="D91" s="3029"/>
      <c r="E91" s="759"/>
      <c r="F91" s="759"/>
      <c r="G91" s="860">
        <f t="shared" si="29"/>
        <v>45</v>
      </c>
      <c r="H91" s="760">
        <f t="shared" si="31"/>
        <v>0</v>
      </c>
      <c r="I91" s="761">
        <f>H91/15</f>
        <v>0</v>
      </c>
      <c r="J91" s="863"/>
      <c r="K91" s="3097"/>
      <c r="L91" s="3098"/>
      <c r="M91" s="3099"/>
      <c r="N91" s="3100"/>
      <c r="O91" s="3100"/>
      <c r="P91" s="3101"/>
      <c r="Q91" s="862"/>
      <c r="R91" s="862"/>
      <c r="S91" s="767" t="str">
        <f t="shared" si="30"/>
        <v/>
      </c>
      <c r="T91" s="768"/>
      <c r="U91" s="768"/>
      <c r="V91" s="767"/>
      <c r="W91" s="768"/>
      <c r="X91" s="768"/>
      <c r="Y91" s="768"/>
      <c r="Z91" s="768"/>
      <c r="AA91" s="768"/>
    </row>
    <row r="92" spans="2:27" s="755" customFormat="1" x14ac:dyDescent="0.2">
      <c r="B92" s="864"/>
      <c r="C92" s="865"/>
      <c r="D92" s="866"/>
      <c r="E92" s="866"/>
      <c r="F92" s="867" t="s">
        <v>283</v>
      </c>
      <c r="G92" s="868"/>
      <c r="H92" s="820">
        <f>SUM(H87:H91)</f>
        <v>0</v>
      </c>
      <c r="I92" s="821">
        <f>SUM(I87:I91)</f>
        <v>0</v>
      </c>
      <c r="J92" s="869"/>
      <c r="K92" s="2999"/>
      <c r="L92" s="3000"/>
      <c r="M92" s="870">
        <f>SUM(S87:S91)</f>
        <v>0</v>
      </c>
      <c r="N92" s="824"/>
      <c r="O92" s="823"/>
      <c r="P92" s="871"/>
      <c r="Q92" s="783"/>
      <c r="R92" s="783"/>
      <c r="S92" s="754"/>
      <c r="T92" s="754"/>
      <c r="U92" s="754"/>
      <c r="V92" s="735"/>
      <c r="W92" s="754"/>
      <c r="X92" s="754"/>
      <c r="Y92" s="754"/>
      <c r="Z92" s="754"/>
      <c r="AA92" s="754"/>
    </row>
    <row r="93" spans="2:27" s="842" customFormat="1" x14ac:dyDescent="0.2">
      <c r="B93" s="1381"/>
      <c r="C93" s="873"/>
      <c r="D93" s="874"/>
      <c r="E93" s="874"/>
      <c r="F93" s="875"/>
      <c r="G93" s="876"/>
      <c r="H93" s="877"/>
      <c r="I93" s="877"/>
      <c r="J93" s="877"/>
      <c r="K93" s="877"/>
      <c r="L93" s="877"/>
      <c r="M93" s="877"/>
      <c r="N93" s="877"/>
      <c r="O93" s="877"/>
      <c r="P93" s="878"/>
      <c r="Q93" s="878"/>
      <c r="R93" s="878"/>
      <c r="S93" s="840"/>
      <c r="T93" s="840"/>
      <c r="U93" s="840"/>
      <c r="V93" s="841"/>
      <c r="W93" s="840"/>
      <c r="X93" s="840"/>
      <c r="Y93" s="840"/>
      <c r="Z93" s="840"/>
      <c r="AA93" s="840"/>
    </row>
    <row r="94" spans="2:27" s="755" customFormat="1" x14ac:dyDescent="0.2">
      <c r="B94" s="873"/>
      <c r="C94" s="873"/>
      <c r="D94" s="873"/>
      <c r="E94" s="873"/>
      <c r="F94" s="873"/>
      <c r="G94" s="874"/>
      <c r="H94" s="879"/>
      <c r="I94" s="879"/>
      <c r="J94" s="879"/>
      <c r="K94" s="879"/>
      <c r="L94" s="879"/>
      <c r="M94" s="879"/>
      <c r="N94" s="879"/>
      <c r="O94" s="879"/>
      <c r="P94" s="879"/>
      <c r="Q94" s="879"/>
      <c r="R94" s="879"/>
      <c r="S94" s="754"/>
      <c r="T94" s="754"/>
      <c r="U94" s="754"/>
      <c r="V94" s="735"/>
      <c r="W94" s="754"/>
      <c r="X94" s="754"/>
      <c r="Y94" s="754"/>
      <c r="Z94" s="754"/>
      <c r="AA94" s="754"/>
    </row>
    <row r="95" spans="2:27" s="725" customFormat="1" ht="21" customHeight="1" x14ac:dyDescent="0.2">
      <c r="B95" s="880" t="s">
        <v>619</v>
      </c>
      <c r="C95" s="881"/>
      <c r="D95" s="882"/>
      <c r="E95" s="883"/>
      <c r="F95" s="883"/>
      <c r="G95" s="884"/>
      <c r="H95" s="885"/>
      <c r="I95" s="885"/>
      <c r="J95" s="885"/>
      <c r="K95" s="885"/>
      <c r="L95" s="885"/>
      <c r="M95" s="886">
        <f>M121+M148+M175+M202</f>
        <v>0</v>
      </c>
      <c r="N95" s="886"/>
      <c r="O95" s="885"/>
      <c r="P95" s="885"/>
      <c r="Q95" s="885"/>
      <c r="R95" s="887"/>
      <c r="S95" s="723"/>
      <c r="T95" s="723"/>
      <c r="U95" s="723"/>
      <c r="V95" s="724"/>
      <c r="W95" s="723"/>
      <c r="X95" s="723"/>
      <c r="Y95" s="723"/>
      <c r="Z95" s="723"/>
      <c r="AA95" s="723"/>
    </row>
    <row r="96" spans="2:27" s="725" customFormat="1" ht="21" customHeight="1" x14ac:dyDescent="0.2">
      <c r="B96" s="719" t="s">
        <v>620</v>
      </c>
      <c r="C96" s="720"/>
      <c r="D96" s="843"/>
      <c r="E96" s="888"/>
      <c r="F96" s="888"/>
      <c r="G96" s="844"/>
      <c r="H96" s="889"/>
      <c r="I96" s="890"/>
      <c r="J96" s="3042" t="s">
        <v>425</v>
      </c>
      <c r="K96" s="3043"/>
      <c r="L96" s="3043"/>
      <c r="M96" s="3043"/>
      <c r="N96" s="3043"/>
      <c r="O96" s="3043"/>
      <c r="P96" s="3043"/>
      <c r="Q96" s="3043"/>
      <c r="R96" s="3044"/>
      <c r="S96" s="723"/>
      <c r="T96" s="723"/>
      <c r="U96" s="723"/>
      <c r="V96" s="724"/>
      <c r="W96" s="723"/>
      <c r="X96" s="723"/>
      <c r="Y96" s="723"/>
      <c r="Z96" s="723"/>
      <c r="AA96" s="723"/>
    </row>
    <row r="97" spans="2:27" s="755" customFormat="1" ht="12.75" customHeight="1" x14ac:dyDescent="0.2">
      <c r="B97" s="891"/>
      <c r="C97" s="2985" t="s">
        <v>621</v>
      </c>
      <c r="D97" s="2986"/>
      <c r="E97" s="2987"/>
      <c r="F97" s="892" t="s">
        <v>622</v>
      </c>
      <c r="G97" s="893" t="s">
        <v>623</v>
      </c>
      <c r="H97" s="729" t="s">
        <v>443</v>
      </c>
      <c r="I97" s="730" t="s">
        <v>443</v>
      </c>
      <c r="J97" s="3077" t="s">
        <v>624</v>
      </c>
      <c r="K97" s="3078"/>
      <c r="L97" s="2985" t="s">
        <v>625</v>
      </c>
      <c r="M97" s="2986"/>
      <c r="N97" s="2987"/>
      <c r="O97" s="892" t="s">
        <v>626</v>
      </c>
      <c r="P97" s="3047" t="s">
        <v>627</v>
      </c>
      <c r="Q97" s="3047"/>
      <c r="R97" s="3048"/>
      <c r="S97" s="754"/>
      <c r="T97" s="754"/>
      <c r="U97" s="754"/>
      <c r="V97" s="735"/>
      <c r="W97" s="754"/>
      <c r="X97" s="754"/>
      <c r="Y97" s="754"/>
      <c r="Z97" s="754"/>
      <c r="AA97" s="754"/>
    </row>
    <row r="98" spans="2:27" s="902" customFormat="1" x14ac:dyDescent="0.2">
      <c r="B98" s="894"/>
      <c r="C98" s="895"/>
      <c r="D98" s="896"/>
      <c r="E98" s="897"/>
      <c r="F98" s="898" t="s">
        <v>628</v>
      </c>
      <c r="G98" s="853"/>
      <c r="H98" s="853" t="s">
        <v>445</v>
      </c>
      <c r="I98" s="854" t="s">
        <v>315</v>
      </c>
      <c r="J98" s="3049" t="s">
        <v>629</v>
      </c>
      <c r="K98" s="3050"/>
      <c r="L98" s="3052" t="s">
        <v>630</v>
      </c>
      <c r="M98" s="2990"/>
      <c r="N98" s="3053"/>
      <c r="O98" s="898" t="s">
        <v>631</v>
      </c>
      <c r="P98" s="727" t="s">
        <v>632</v>
      </c>
      <c r="Q98" s="727" t="s">
        <v>633</v>
      </c>
      <c r="R98" s="899" t="s">
        <v>634</v>
      </c>
      <c r="S98" s="900"/>
      <c r="T98" s="900"/>
      <c r="U98" s="900"/>
      <c r="V98" s="901"/>
      <c r="W98" s="900"/>
      <c r="X98" s="900"/>
      <c r="Y98" s="900"/>
      <c r="Z98" s="900"/>
      <c r="AA98" s="900"/>
    </row>
    <row r="99" spans="2:27" s="747" customFormat="1" x14ac:dyDescent="0.2">
      <c r="B99" s="737"/>
      <c r="C99" s="738"/>
      <c r="D99" s="903"/>
      <c r="E99" s="904"/>
      <c r="F99" s="905" t="s">
        <v>629</v>
      </c>
      <c r="G99" s="739"/>
      <c r="H99" s="906"/>
      <c r="I99" s="859"/>
      <c r="J99" s="907"/>
      <c r="K99" s="908"/>
      <c r="L99" s="909"/>
      <c r="M99" s="2991"/>
      <c r="N99" s="3051"/>
      <c r="O99" s="910" t="s">
        <v>1018</v>
      </c>
      <c r="P99" s="739"/>
      <c r="Q99" s="739" t="s">
        <v>635</v>
      </c>
      <c r="R99" s="911" t="s">
        <v>636</v>
      </c>
      <c r="S99" s="745"/>
      <c r="T99" s="745"/>
      <c r="U99" s="745"/>
      <c r="V99" s="746"/>
      <c r="W99" s="745"/>
      <c r="X99" s="745"/>
      <c r="Y99" s="745"/>
      <c r="Z99" s="745"/>
      <c r="AA99" s="745"/>
    </row>
    <row r="100" spans="2:27" s="922" customFormat="1" ht="12.75" customHeight="1" x14ac:dyDescent="0.2">
      <c r="B100" s="912" t="s">
        <v>450</v>
      </c>
      <c r="C100" s="2982" t="s">
        <v>637</v>
      </c>
      <c r="D100" s="2983"/>
      <c r="E100" s="2984"/>
      <c r="F100" s="913" t="s">
        <v>163</v>
      </c>
      <c r="G100" s="914">
        <f>IF(F100="",0,IF(F100="ระดับชาติ",45,IF(F100="ระดับนานาชาติ",90,45)))</f>
        <v>45</v>
      </c>
      <c r="H100" s="915">
        <f>IF(C100&lt;&gt;"",G100/2,0)</f>
        <v>22.5</v>
      </c>
      <c r="I100" s="916">
        <f t="shared" ref="I100:I120" si="32">H100/15</f>
        <v>1.5</v>
      </c>
      <c r="J100" s="3079" t="s">
        <v>191</v>
      </c>
      <c r="K100" s="3080"/>
      <c r="L100" s="3054" t="s">
        <v>638</v>
      </c>
      <c r="M100" s="2993"/>
      <c r="N100" s="3055"/>
      <c r="O100" s="1506">
        <v>240817</v>
      </c>
      <c r="P100" s="917" t="s">
        <v>172</v>
      </c>
      <c r="Q100" s="917"/>
      <c r="R100" s="918" t="s">
        <v>172</v>
      </c>
      <c r="S100" s="919">
        <v>240787</v>
      </c>
      <c r="T100" s="919">
        <v>240057</v>
      </c>
      <c r="U100" s="920"/>
      <c r="V100" s="921"/>
      <c r="W100" s="921" t="s">
        <v>639</v>
      </c>
      <c r="X100" s="921" t="s">
        <v>640</v>
      </c>
      <c r="Y100" s="920"/>
      <c r="Z100" s="920"/>
      <c r="AA100" s="920"/>
    </row>
    <row r="101" spans="2:27" s="769" customFormat="1" x14ac:dyDescent="0.2">
      <c r="B101" s="923" t="s">
        <v>641</v>
      </c>
      <c r="C101" s="2975"/>
      <c r="D101" s="2976"/>
      <c r="E101" s="2977"/>
      <c r="F101" s="924"/>
      <c r="G101" s="860">
        <f>IF(F101="",0,IF(F101="ระดับชาติ",45,IF(F101="ระดับนานาชาติ",90,45)))</f>
        <v>0</v>
      </c>
      <c r="H101" s="760">
        <f>IF(C101&lt;&gt;"",G101/2,0)</f>
        <v>0</v>
      </c>
      <c r="I101" s="761">
        <f t="shared" si="32"/>
        <v>0</v>
      </c>
      <c r="J101" s="3073"/>
      <c r="K101" s="3074"/>
      <c r="L101" s="2997"/>
      <c r="M101" s="2979"/>
      <c r="N101" s="2998"/>
      <c r="O101" s="1507"/>
      <c r="P101" s="925"/>
      <c r="Q101" s="925"/>
      <c r="R101" s="926"/>
      <c r="S101" s="767">
        <f>IF(AND(F101&lt;&gt;"",C101&lt;&gt;""),IF(AND(F101="ระดับชาติ",C101&lt;&gt;""),3,IF(AND(F101="ระดับนานาชาติ",C101&lt;&gt;""),5,0)),0)</f>
        <v>0</v>
      </c>
      <c r="T101" s="767" t="str">
        <f>IF(J101&lt;&gt;"",MID(J101,1,3),"")</f>
        <v/>
      </c>
      <c r="U101" s="767">
        <f>IF(S101&lt;&gt;0,IF(T101&lt;&gt;"",IF(OR(T101="0.2",T101="0.4",T101="0.6"),1,IF(T101="0.8",2,IF(T101="1.0",3,0))),0),0)</f>
        <v>0</v>
      </c>
      <c r="V101" s="767">
        <f>IF(O101="",0,IF(U101=1,IF(AND(O101&gt;=$S$21,O101&lt;=$T$21),1,0),IF(U101=2,IF(AND(O101&gt;=$S$21,O101&lt;=$T$21),1,0),IF(U101=3,IF(AND(O101&gt;=$S$21,O101&lt;=$T$21),1,0),0))))</f>
        <v>0</v>
      </c>
      <c r="W101" s="767">
        <f>IF(AND(U101&lt;&gt;0,V101&lt;&gt;0),1,0)</f>
        <v>0</v>
      </c>
      <c r="X101" s="767">
        <f>IF(AND(OR(U101=2,U101=3),V101&lt;&gt;0),1,0)</f>
        <v>0</v>
      </c>
      <c r="Y101" s="768"/>
      <c r="Z101" s="768"/>
      <c r="AA101" s="768"/>
    </row>
    <row r="102" spans="2:27" s="769" customFormat="1" x14ac:dyDescent="0.2">
      <c r="B102" s="923" t="s">
        <v>642</v>
      </c>
      <c r="C102" s="2975"/>
      <c r="D102" s="2976"/>
      <c r="E102" s="2977"/>
      <c r="F102" s="924"/>
      <c r="G102" s="860">
        <f t="shared" ref="G102:G120" si="33">IF(F102="",0,IF(F102="ระดับชาติ",45,IF(F102="ระดับนานาชาติ",90,45)))</f>
        <v>0</v>
      </c>
      <c r="H102" s="760">
        <f t="shared" ref="H102:H120" si="34">IF(C102&lt;&gt;"",G102/2,0)</f>
        <v>0</v>
      </c>
      <c r="I102" s="761">
        <f t="shared" si="32"/>
        <v>0</v>
      </c>
      <c r="J102" s="3073"/>
      <c r="K102" s="3074"/>
      <c r="L102" s="2997"/>
      <c r="M102" s="2979"/>
      <c r="N102" s="2998"/>
      <c r="O102" s="1507"/>
      <c r="P102" s="925"/>
      <c r="Q102" s="925"/>
      <c r="R102" s="926"/>
      <c r="S102" s="767">
        <f t="shared" ref="S102:S120" si="35">IF(AND(F102&lt;&gt;"",C102&lt;&gt;""),IF(AND(F102="ระดับชาติ",C102&lt;&gt;""),3,IF(AND(F102="ระดับนานาชาติ",C102&lt;&gt;""),5,0)),0)</f>
        <v>0</v>
      </c>
      <c r="T102" s="767" t="str">
        <f t="shared" ref="T102:T120" si="36">IF(J102&lt;&gt;"",MID(J102,1,3),"")</f>
        <v/>
      </c>
      <c r="U102" s="767">
        <f t="shared" ref="U102:U120" si="37">IF(S102&lt;&gt;0,IF(T102&lt;&gt;"",IF(OR(T102="0.2",T102="0.4",T102="0.6"),1,IF(T102="0.8",2,IF(T102="1.0",3,0))),0),0)</f>
        <v>0</v>
      </c>
      <c r="V102" s="767">
        <f t="shared" ref="V102:V120" si="38">IF(O102="",0,IF(U102=1,IF(AND(O102&gt;=$S$21,O102&lt;=$T$21),1,0),IF(U102=2,IF(AND(O102&gt;=$S$21,O102&lt;=$T$21),1,0),IF(U102=3,IF(AND(O102&gt;=$S$21,O102&lt;=$T$21),1,0),0))))</f>
        <v>0</v>
      </c>
      <c r="W102" s="767">
        <f t="shared" ref="W102:W120" si="39">IF(AND(U102&lt;&gt;0,V102&lt;&gt;0),1,0)</f>
        <v>0</v>
      </c>
      <c r="X102" s="767">
        <f t="shared" ref="X102:X120" si="40">IF(AND(OR(U102=2,U102=3),V102&lt;&gt;0),1,0)</f>
        <v>0</v>
      </c>
      <c r="Y102" s="768"/>
      <c r="Z102" s="768"/>
      <c r="AA102" s="768"/>
    </row>
    <row r="103" spans="2:27" s="769" customFormat="1" x14ac:dyDescent="0.2">
      <c r="B103" s="923" t="s">
        <v>643</v>
      </c>
      <c r="C103" s="2975"/>
      <c r="D103" s="2976"/>
      <c r="E103" s="2977"/>
      <c r="F103" s="924"/>
      <c r="G103" s="860">
        <f t="shared" si="33"/>
        <v>0</v>
      </c>
      <c r="H103" s="760">
        <f t="shared" si="34"/>
        <v>0</v>
      </c>
      <c r="I103" s="761">
        <f t="shared" si="32"/>
        <v>0</v>
      </c>
      <c r="J103" s="3073"/>
      <c r="K103" s="3074"/>
      <c r="L103" s="2997"/>
      <c r="M103" s="2979"/>
      <c r="N103" s="2998"/>
      <c r="O103" s="1507"/>
      <c r="P103" s="925"/>
      <c r="Q103" s="925"/>
      <c r="R103" s="926"/>
      <c r="S103" s="767">
        <f t="shared" si="35"/>
        <v>0</v>
      </c>
      <c r="T103" s="767" t="str">
        <f t="shared" si="36"/>
        <v/>
      </c>
      <c r="U103" s="767">
        <f t="shared" si="37"/>
        <v>0</v>
      </c>
      <c r="V103" s="767">
        <f t="shared" si="38"/>
        <v>0</v>
      </c>
      <c r="W103" s="767">
        <f t="shared" si="39"/>
        <v>0</v>
      </c>
      <c r="X103" s="767">
        <f t="shared" si="40"/>
        <v>0</v>
      </c>
      <c r="Y103" s="768"/>
      <c r="Z103" s="768"/>
      <c r="AA103" s="768"/>
    </row>
    <row r="104" spans="2:27" s="769" customFormat="1" x14ac:dyDescent="0.2">
      <c r="B104" s="923" t="s">
        <v>644</v>
      </c>
      <c r="C104" s="2975"/>
      <c r="D104" s="2976"/>
      <c r="E104" s="2977"/>
      <c r="F104" s="924"/>
      <c r="G104" s="860">
        <f t="shared" si="33"/>
        <v>0</v>
      </c>
      <c r="H104" s="760">
        <f t="shared" si="34"/>
        <v>0</v>
      </c>
      <c r="I104" s="761">
        <f t="shared" si="32"/>
        <v>0</v>
      </c>
      <c r="J104" s="3073"/>
      <c r="K104" s="3074"/>
      <c r="L104" s="2997"/>
      <c r="M104" s="2979"/>
      <c r="N104" s="2998"/>
      <c r="O104" s="1507"/>
      <c r="P104" s="925"/>
      <c r="Q104" s="925"/>
      <c r="R104" s="926"/>
      <c r="S104" s="767">
        <f t="shared" si="35"/>
        <v>0</v>
      </c>
      <c r="T104" s="767" t="str">
        <f t="shared" si="36"/>
        <v/>
      </c>
      <c r="U104" s="767">
        <f t="shared" si="37"/>
        <v>0</v>
      </c>
      <c r="V104" s="767">
        <f t="shared" si="38"/>
        <v>0</v>
      </c>
      <c r="W104" s="767">
        <f t="shared" si="39"/>
        <v>0</v>
      </c>
      <c r="X104" s="767">
        <f t="shared" si="40"/>
        <v>0</v>
      </c>
      <c r="Y104" s="768"/>
      <c r="Z104" s="768"/>
      <c r="AA104" s="768"/>
    </row>
    <row r="105" spans="2:27" s="769" customFormat="1" x14ac:dyDescent="0.2">
      <c r="B105" s="923" t="s">
        <v>645</v>
      </c>
      <c r="C105" s="2975"/>
      <c r="D105" s="2976"/>
      <c r="E105" s="2977"/>
      <c r="F105" s="924"/>
      <c r="G105" s="860">
        <f t="shared" si="33"/>
        <v>0</v>
      </c>
      <c r="H105" s="760">
        <f t="shared" si="34"/>
        <v>0</v>
      </c>
      <c r="I105" s="761">
        <f t="shared" si="32"/>
        <v>0</v>
      </c>
      <c r="J105" s="3073"/>
      <c r="K105" s="3074"/>
      <c r="L105" s="2997"/>
      <c r="M105" s="2979"/>
      <c r="N105" s="2998"/>
      <c r="O105" s="1507"/>
      <c r="P105" s="925"/>
      <c r="Q105" s="925"/>
      <c r="R105" s="926"/>
      <c r="S105" s="767">
        <f t="shared" si="35"/>
        <v>0</v>
      </c>
      <c r="T105" s="767" t="str">
        <f t="shared" si="36"/>
        <v/>
      </c>
      <c r="U105" s="767">
        <f t="shared" si="37"/>
        <v>0</v>
      </c>
      <c r="V105" s="767">
        <f t="shared" si="38"/>
        <v>0</v>
      </c>
      <c r="W105" s="767">
        <f t="shared" si="39"/>
        <v>0</v>
      </c>
      <c r="X105" s="767">
        <f t="shared" si="40"/>
        <v>0</v>
      </c>
      <c r="Y105" s="768"/>
      <c r="Z105" s="768"/>
      <c r="AA105" s="768"/>
    </row>
    <row r="106" spans="2:27" s="769" customFormat="1" x14ac:dyDescent="0.2">
      <c r="B106" s="923" t="s">
        <v>646</v>
      </c>
      <c r="C106" s="2975"/>
      <c r="D106" s="2976"/>
      <c r="E106" s="2977"/>
      <c r="F106" s="924"/>
      <c r="G106" s="860">
        <f t="shared" si="33"/>
        <v>0</v>
      </c>
      <c r="H106" s="760">
        <f t="shared" si="34"/>
        <v>0</v>
      </c>
      <c r="I106" s="761">
        <f t="shared" si="32"/>
        <v>0</v>
      </c>
      <c r="J106" s="3073"/>
      <c r="K106" s="3074"/>
      <c r="L106" s="2997"/>
      <c r="M106" s="2979"/>
      <c r="N106" s="2998"/>
      <c r="O106" s="1507"/>
      <c r="P106" s="925"/>
      <c r="Q106" s="925"/>
      <c r="R106" s="926"/>
      <c r="S106" s="767">
        <f t="shared" si="35"/>
        <v>0</v>
      </c>
      <c r="T106" s="767" t="str">
        <f t="shared" si="36"/>
        <v/>
      </c>
      <c r="U106" s="767">
        <f t="shared" si="37"/>
        <v>0</v>
      </c>
      <c r="V106" s="767">
        <f t="shared" si="38"/>
        <v>0</v>
      </c>
      <c r="W106" s="767">
        <f t="shared" si="39"/>
        <v>0</v>
      </c>
      <c r="X106" s="767">
        <f t="shared" si="40"/>
        <v>0</v>
      </c>
      <c r="Y106" s="768"/>
      <c r="Z106" s="768"/>
      <c r="AA106" s="768"/>
    </row>
    <row r="107" spans="2:27" s="769" customFormat="1" x14ac:dyDescent="0.2">
      <c r="B107" s="923" t="s">
        <v>647</v>
      </c>
      <c r="C107" s="2975"/>
      <c r="D107" s="2976"/>
      <c r="E107" s="2977"/>
      <c r="F107" s="924"/>
      <c r="G107" s="860">
        <f t="shared" si="33"/>
        <v>0</v>
      </c>
      <c r="H107" s="760">
        <f t="shared" si="34"/>
        <v>0</v>
      </c>
      <c r="I107" s="761">
        <f t="shared" si="32"/>
        <v>0</v>
      </c>
      <c r="J107" s="3073"/>
      <c r="K107" s="3074"/>
      <c r="L107" s="2997"/>
      <c r="M107" s="2979"/>
      <c r="N107" s="2998"/>
      <c r="O107" s="1507"/>
      <c r="P107" s="925"/>
      <c r="Q107" s="925"/>
      <c r="R107" s="926"/>
      <c r="S107" s="767">
        <f t="shared" si="35"/>
        <v>0</v>
      </c>
      <c r="T107" s="767" t="str">
        <f t="shared" si="36"/>
        <v/>
      </c>
      <c r="U107" s="767">
        <f t="shared" si="37"/>
        <v>0</v>
      </c>
      <c r="V107" s="767">
        <f t="shared" si="38"/>
        <v>0</v>
      </c>
      <c r="W107" s="767">
        <f t="shared" si="39"/>
        <v>0</v>
      </c>
      <c r="X107" s="767">
        <f t="shared" si="40"/>
        <v>0</v>
      </c>
      <c r="Y107" s="768"/>
      <c r="Z107" s="768"/>
      <c r="AA107" s="768"/>
    </row>
    <row r="108" spans="2:27" s="769" customFormat="1" x14ac:dyDescent="0.2">
      <c r="B108" s="923" t="s">
        <v>648</v>
      </c>
      <c r="C108" s="2975"/>
      <c r="D108" s="2976"/>
      <c r="E108" s="2977"/>
      <c r="F108" s="924"/>
      <c r="G108" s="860">
        <f t="shared" si="33"/>
        <v>0</v>
      </c>
      <c r="H108" s="760">
        <f t="shared" si="34"/>
        <v>0</v>
      </c>
      <c r="I108" s="761">
        <f t="shared" si="32"/>
        <v>0</v>
      </c>
      <c r="J108" s="3073"/>
      <c r="K108" s="3074"/>
      <c r="L108" s="2997"/>
      <c r="M108" s="2979"/>
      <c r="N108" s="2998"/>
      <c r="O108" s="1507"/>
      <c r="P108" s="925"/>
      <c r="Q108" s="925"/>
      <c r="R108" s="926"/>
      <c r="S108" s="767">
        <f t="shared" si="35"/>
        <v>0</v>
      </c>
      <c r="T108" s="767" t="str">
        <f t="shared" si="36"/>
        <v/>
      </c>
      <c r="U108" s="767">
        <f t="shared" si="37"/>
        <v>0</v>
      </c>
      <c r="V108" s="767">
        <f t="shared" si="38"/>
        <v>0</v>
      </c>
      <c r="W108" s="767">
        <f t="shared" si="39"/>
        <v>0</v>
      </c>
      <c r="X108" s="767">
        <f t="shared" si="40"/>
        <v>0</v>
      </c>
      <c r="Y108" s="768"/>
      <c r="Z108" s="768"/>
      <c r="AA108" s="768"/>
    </row>
    <row r="109" spans="2:27" s="769" customFormat="1" x14ac:dyDescent="0.2">
      <c r="B109" s="923" t="s">
        <v>649</v>
      </c>
      <c r="C109" s="2975"/>
      <c r="D109" s="2976"/>
      <c r="E109" s="2977"/>
      <c r="F109" s="924"/>
      <c r="G109" s="860">
        <f t="shared" si="33"/>
        <v>0</v>
      </c>
      <c r="H109" s="760">
        <f t="shared" si="34"/>
        <v>0</v>
      </c>
      <c r="I109" s="761">
        <f t="shared" si="32"/>
        <v>0</v>
      </c>
      <c r="J109" s="3073"/>
      <c r="K109" s="3074"/>
      <c r="L109" s="2997"/>
      <c r="M109" s="2979"/>
      <c r="N109" s="2998"/>
      <c r="O109" s="1507"/>
      <c r="P109" s="925"/>
      <c r="Q109" s="925"/>
      <c r="R109" s="926"/>
      <c r="S109" s="767">
        <f t="shared" si="35"/>
        <v>0</v>
      </c>
      <c r="T109" s="767" t="str">
        <f t="shared" si="36"/>
        <v/>
      </c>
      <c r="U109" s="767">
        <f t="shared" si="37"/>
        <v>0</v>
      </c>
      <c r="V109" s="767">
        <f t="shared" si="38"/>
        <v>0</v>
      </c>
      <c r="W109" s="767">
        <f t="shared" si="39"/>
        <v>0</v>
      </c>
      <c r="X109" s="767">
        <f t="shared" si="40"/>
        <v>0</v>
      </c>
      <c r="Y109" s="768"/>
      <c r="Z109" s="768"/>
      <c r="AA109" s="768"/>
    </row>
    <row r="110" spans="2:27" s="769" customFormat="1" x14ac:dyDescent="0.2">
      <c r="B110" s="923" t="s">
        <v>650</v>
      </c>
      <c r="C110" s="2975"/>
      <c r="D110" s="2976"/>
      <c r="E110" s="2977"/>
      <c r="F110" s="924"/>
      <c r="G110" s="860">
        <f t="shared" si="33"/>
        <v>0</v>
      </c>
      <c r="H110" s="760">
        <f t="shared" si="34"/>
        <v>0</v>
      </c>
      <c r="I110" s="761">
        <f t="shared" si="32"/>
        <v>0</v>
      </c>
      <c r="J110" s="3073"/>
      <c r="K110" s="3074"/>
      <c r="L110" s="2997"/>
      <c r="M110" s="2979"/>
      <c r="N110" s="2998"/>
      <c r="O110" s="1507"/>
      <c r="P110" s="925"/>
      <c r="Q110" s="925"/>
      <c r="R110" s="926"/>
      <c r="S110" s="767">
        <f t="shared" si="35"/>
        <v>0</v>
      </c>
      <c r="T110" s="767" t="str">
        <f t="shared" si="36"/>
        <v/>
      </c>
      <c r="U110" s="767">
        <f t="shared" si="37"/>
        <v>0</v>
      </c>
      <c r="V110" s="767">
        <f t="shared" si="38"/>
        <v>0</v>
      </c>
      <c r="W110" s="767">
        <f t="shared" si="39"/>
        <v>0</v>
      </c>
      <c r="X110" s="767">
        <f t="shared" si="40"/>
        <v>0</v>
      </c>
      <c r="Y110" s="768"/>
      <c r="Z110" s="768"/>
      <c r="AA110" s="768"/>
    </row>
    <row r="111" spans="2:27" s="755" customFormat="1" x14ac:dyDescent="0.2">
      <c r="B111" s="923" t="s">
        <v>651</v>
      </c>
      <c r="C111" s="3089"/>
      <c r="D111" s="3090"/>
      <c r="E111" s="3091"/>
      <c r="F111" s="927"/>
      <c r="G111" s="860">
        <f t="shared" si="33"/>
        <v>0</v>
      </c>
      <c r="H111" s="760">
        <f t="shared" si="34"/>
        <v>0</v>
      </c>
      <c r="I111" s="928">
        <f t="shared" si="32"/>
        <v>0</v>
      </c>
      <c r="J111" s="3073"/>
      <c r="K111" s="3074"/>
      <c r="L111" s="2997"/>
      <c r="M111" s="2979"/>
      <c r="N111" s="2998"/>
      <c r="O111" s="1508"/>
      <c r="P111" s="929"/>
      <c r="Q111" s="929"/>
      <c r="R111" s="930"/>
      <c r="S111" s="767">
        <f t="shared" si="35"/>
        <v>0</v>
      </c>
      <c r="T111" s="767" t="str">
        <f t="shared" si="36"/>
        <v/>
      </c>
      <c r="U111" s="767">
        <f t="shared" si="37"/>
        <v>0</v>
      </c>
      <c r="V111" s="767">
        <f t="shared" si="38"/>
        <v>0</v>
      </c>
      <c r="W111" s="767">
        <f t="shared" si="39"/>
        <v>0</v>
      </c>
      <c r="X111" s="767">
        <f t="shared" si="40"/>
        <v>0</v>
      </c>
      <c r="Y111" s="754"/>
      <c r="Z111" s="754"/>
      <c r="AA111" s="754"/>
    </row>
    <row r="112" spans="2:27" s="755" customFormat="1" x14ac:dyDescent="0.2">
      <c r="B112" s="923" t="s">
        <v>652</v>
      </c>
      <c r="C112" s="3089"/>
      <c r="D112" s="3090"/>
      <c r="E112" s="3091"/>
      <c r="F112" s="927"/>
      <c r="G112" s="860">
        <f t="shared" si="33"/>
        <v>0</v>
      </c>
      <c r="H112" s="760">
        <f t="shared" si="34"/>
        <v>0</v>
      </c>
      <c r="I112" s="928">
        <f t="shared" si="32"/>
        <v>0</v>
      </c>
      <c r="J112" s="3073"/>
      <c r="K112" s="3074"/>
      <c r="L112" s="2997"/>
      <c r="M112" s="2979"/>
      <c r="N112" s="2998"/>
      <c r="O112" s="1508"/>
      <c r="P112" s="929"/>
      <c r="Q112" s="929"/>
      <c r="R112" s="930"/>
      <c r="S112" s="767">
        <f t="shared" si="35"/>
        <v>0</v>
      </c>
      <c r="T112" s="767" t="str">
        <f t="shared" si="36"/>
        <v/>
      </c>
      <c r="U112" s="767">
        <f t="shared" si="37"/>
        <v>0</v>
      </c>
      <c r="V112" s="767">
        <f t="shared" si="38"/>
        <v>0</v>
      </c>
      <c r="W112" s="767">
        <f t="shared" si="39"/>
        <v>0</v>
      </c>
      <c r="X112" s="767">
        <f t="shared" si="40"/>
        <v>0</v>
      </c>
      <c r="Y112" s="754"/>
      <c r="Z112" s="754"/>
      <c r="AA112" s="754"/>
    </row>
    <row r="113" spans="2:27" s="755" customFormat="1" x14ac:dyDescent="0.2">
      <c r="B113" s="923" t="s">
        <v>653</v>
      </c>
      <c r="C113" s="3089"/>
      <c r="D113" s="3090"/>
      <c r="E113" s="3091"/>
      <c r="F113" s="927"/>
      <c r="G113" s="860">
        <f t="shared" si="33"/>
        <v>0</v>
      </c>
      <c r="H113" s="760">
        <f t="shared" si="34"/>
        <v>0</v>
      </c>
      <c r="I113" s="928">
        <f t="shared" si="32"/>
        <v>0</v>
      </c>
      <c r="J113" s="3073"/>
      <c r="K113" s="3074"/>
      <c r="L113" s="2997"/>
      <c r="M113" s="2979"/>
      <c r="N113" s="2998"/>
      <c r="O113" s="1508"/>
      <c r="P113" s="929"/>
      <c r="Q113" s="929"/>
      <c r="R113" s="930"/>
      <c r="S113" s="767">
        <f t="shared" si="35"/>
        <v>0</v>
      </c>
      <c r="T113" s="767" t="str">
        <f t="shared" si="36"/>
        <v/>
      </c>
      <c r="U113" s="767">
        <f t="shared" si="37"/>
        <v>0</v>
      </c>
      <c r="V113" s="767">
        <f t="shared" si="38"/>
        <v>0</v>
      </c>
      <c r="W113" s="767">
        <f t="shared" si="39"/>
        <v>0</v>
      </c>
      <c r="X113" s="767">
        <f t="shared" si="40"/>
        <v>0</v>
      </c>
      <c r="Y113" s="754"/>
      <c r="Z113" s="754"/>
      <c r="AA113" s="754"/>
    </row>
    <row r="114" spans="2:27" s="755" customFormat="1" x14ac:dyDescent="0.2">
      <c r="B114" s="923" t="s">
        <v>654</v>
      </c>
      <c r="C114" s="3089"/>
      <c r="D114" s="3090"/>
      <c r="E114" s="3091"/>
      <c r="F114" s="927"/>
      <c r="G114" s="860">
        <f t="shared" si="33"/>
        <v>0</v>
      </c>
      <c r="H114" s="760">
        <f t="shared" si="34"/>
        <v>0</v>
      </c>
      <c r="I114" s="928">
        <f t="shared" si="32"/>
        <v>0</v>
      </c>
      <c r="J114" s="3073"/>
      <c r="K114" s="3074"/>
      <c r="L114" s="2997"/>
      <c r="M114" s="2979"/>
      <c r="N114" s="2998"/>
      <c r="O114" s="1508"/>
      <c r="P114" s="929"/>
      <c r="Q114" s="929"/>
      <c r="R114" s="930"/>
      <c r="S114" s="767">
        <f t="shared" si="35"/>
        <v>0</v>
      </c>
      <c r="T114" s="767" t="str">
        <f t="shared" si="36"/>
        <v/>
      </c>
      <c r="U114" s="767">
        <f t="shared" si="37"/>
        <v>0</v>
      </c>
      <c r="V114" s="767">
        <f t="shared" si="38"/>
        <v>0</v>
      </c>
      <c r="W114" s="767">
        <f t="shared" si="39"/>
        <v>0</v>
      </c>
      <c r="X114" s="767">
        <f t="shared" si="40"/>
        <v>0</v>
      </c>
      <c r="Y114" s="754"/>
      <c r="Z114" s="754"/>
      <c r="AA114" s="754"/>
    </row>
    <row r="115" spans="2:27" s="755" customFormat="1" x14ac:dyDescent="0.2">
      <c r="B115" s="923" t="s">
        <v>655</v>
      </c>
      <c r="C115" s="3089"/>
      <c r="D115" s="3090"/>
      <c r="E115" s="3091"/>
      <c r="F115" s="927"/>
      <c r="G115" s="860">
        <f t="shared" si="33"/>
        <v>0</v>
      </c>
      <c r="H115" s="760">
        <f t="shared" si="34"/>
        <v>0</v>
      </c>
      <c r="I115" s="928">
        <f t="shared" si="32"/>
        <v>0</v>
      </c>
      <c r="J115" s="3073"/>
      <c r="K115" s="3074"/>
      <c r="L115" s="2997"/>
      <c r="M115" s="2979"/>
      <c r="N115" s="2998"/>
      <c r="O115" s="1508"/>
      <c r="P115" s="929"/>
      <c r="Q115" s="929"/>
      <c r="R115" s="930"/>
      <c r="S115" s="767">
        <f t="shared" si="35"/>
        <v>0</v>
      </c>
      <c r="T115" s="767" t="str">
        <f t="shared" si="36"/>
        <v/>
      </c>
      <c r="U115" s="767">
        <f t="shared" si="37"/>
        <v>0</v>
      </c>
      <c r="V115" s="767">
        <f t="shared" si="38"/>
        <v>0</v>
      </c>
      <c r="W115" s="767">
        <f t="shared" si="39"/>
        <v>0</v>
      </c>
      <c r="X115" s="767">
        <f t="shared" si="40"/>
        <v>0</v>
      </c>
      <c r="Y115" s="754"/>
      <c r="Z115" s="754"/>
      <c r="AA115" s="754"/>
    </row>
    <row r="116" spans="2:27" s="755" customFormat="1" x14ac:dyDescent="0.2">
      <c r="B116" s="923" t="s">
        <v>656</v>
      </c>
      <c r="C116" s="3089"/>
      <c r="D116" s="3090"/>
      <c r="E116" s="3091"/>
      <c r="F116" s="927"/>
      <c r="G116" s="860">
        <f t="shared" si="33"/>
        <v>0</v>
      </c>
      <c r="H116" s="760">
        <f t="shared" si="34"/>
        <v>0</v>
      </c>
      <c r="I116" s="928">
        <f t="shared" si="32"/>
        <v>0</v>
      </c>
      <c r="J116" s="3073"/>
      <c r="K116" s="3074"/>
      <c r="L116" s="2997"/>
      <c r="M116" s="2979"/>
      <c r="N116" s="2998"/>
      <c r="O116" s="1508"/>
      <c r="P116" s="929"/>
      <c r="Q116" s="929"/>
      <c r="R116" s="930"/>
      <c r="S116" s="767">
        <f t="shared" si="35"/>
        <v>0</v>
      </c>
      <c r="T116" s="767" t="str">
        <f t="shared" si="36"/>
        <v/>
      </c>
      <c r="U116" s="767">
        <f t="shared" si="37"/>
        <v>0</v>
      </c>
      <c r="V116" s="767">
        <f t="shared" si="38"/>
        <v>0</v>
      </c>
      <c r="W116" s="767">
        <f t="shared" si="39"/>
        <v>0</v>
      </c>
      <c r="X116" s="767">
        <f t="shared" si="40"/>
        <v>0</v>
      </c>
      <c r="Y116" s="754"/>
      <c r="Z116" s="754"/>
      <c r="AA116" s="754"/>
    </row>
    <row r="117" spans="2:27" s="755" customFormat="1" x14ac:dyDescent="0.2">
      <c r="B117" s="923" t="s">
        <v>657</v>
      </c>
      <c r="C117" s="3089"/>
      <c r="D117" s="3090"/>
      <c r="E117" s="3091"/>
      <c r="F117" s="927"/>
      <c r="G117" s="860">
        <f t="shared" si="33"/>
        <v>0</v>
      </c>
      <c r="H117" s="760">
        <f t="shared" si="34"/>
        <v>0</v>
      </c>
      <c r="I117" s="928">
        <f t="shared" si="32"/>
        <v>0</v>
      </c>
      <c r="J117" s="3073"/>
      <c r="K117" s="3074"/>
      <c r="L117" s="2997"/>
      <c r="M117" s="2979"/>
      <c r="N117" s="2998"/>
      <c r="O117" s="1508"/>
      <c r="P117" s="929"/>
      <c r="Q117" s="929"/>
      <c r="R117" s="930"/>
      <c r="S117" s="767">
        <f t="shared" si="35"/>
        <v>0</v>
      </c>
      <c r="T117" s="767" t="str">
        <f t="shared" si="36"/>
        <v/>
      </c>
      <c r="U117" s="767">
        <f t="shared" si="37"/>
        <v>0</v>
      </c>
      <c r="V117" s="767">
        <f t="shared" si="38"/>
        <v>0</v>
      </c>
      <c r="W117" s="767">
        <f t="shared" si="39"/>
        <v>0</v>
      </c>
      <c r="X117" s="767">
        <f t="shared" si="40"/>
        <v>0</v>
      </c>
      <c r="Y117" s="754"/>
      <c r="Z117" s="754"/>
      <c r="AA117" s="754"/>
    </row>
    <row r="118" spans="2:27" s="755" customFormat="1" x14ac:dyDescent="0.2">
      <c r="B118" s="923" t="s">
        <v>658</v>
      </c>
      <c r="C118" s="3089"/>
      <c r="D118" s="3090"/>
      <c r="E118" s="3091"/>
      <c r="F118" s="927"/>
      <c r="G118" s="860">
        <f t="shared" si="33"/>
        <v>0</v>
      </c>
      <c r="H118" s="760">
        <f t="shared" si="34"/>
        <v>0</v>
      </c>
      <c r="I118" s="928">
        <f t="shared" si="32"/>
        <v>0</v>
      </c>
      <c r="J118" s="3073"/>
      <c r="K118" s="3074"/>
      <c r="L118" s="2997"/>
      <c r="M118" s="2979"/>
      <c r="N118" s="2998"/>
      <c r="O118" s="1508"/>
      <c r="P118" s="929"/>
      <c r="Q118" s="929"/>
      <c r="R118" s="930"/>
      <c r="S118" s="767">
        <f t="shared" si="35"/>
        <v>0</v>
      </c>
      <c r="T118" s="767" t="str">
        <f t="shared" si="36"/>
        <v/>
      </c>
      <c r="U118" s="767">
        <f t="shared" si="37"/>
        <v>0</v>
      </c>
      <c r="V118" s="767">
        <f t="shared" si="38"/>
        <v>0</v>
      </c>
      <c r="W118" s="767">
        <f t="shared" si="39"/>
        <v>0</v>
      </c>
      <c r="X118" s="767">
        <f t="shared" si="40"/>
        <v>0</v>
      </c>
      <c r="Y118" s="754"/>
      <c r="Z118" s="754"/>
      <c r="AA118" s="754"/>
    </row>
    <row r="119" spans="2:27" s="755" customFormat="1" x14ac:dyDescent="0.2">
      <c r="B119" s="923" t="s">
        <v>659</v>
      </c>
      <c r="C119" s="3089"/>
      <c r="D119" s="3090"/>
      <c r="E119" s="3091"/>
      <c r="F119" s="927"/>
      <c r="G119" s="860">
        <f t="shared" si="33"/>
        <v>0</v>
      </c>
      <c r="H119" s="760">
        <f t="shared" si="34"/>
        <v>0</v>
      </c>
      <c r="I119" s="928">
        <f t="shared" si="32"/>
        <v>0</v>
      </c>
      <c r="J119" s="3073"/>
      <c r="K119" s="3074"/>
      <c r="L119" s="2997"/>
      <c r="M119" s="2979"/>
      <c r="N119" s="2998"/>
      <c r="O119" s="1508"/>
      <c r="P119" s="929"/>
      <c r="Q119" s="929"/>
      <c r="R119" s="930"/>
      <c r="S119" s="767">
        <f t="shared" si="35"/>
        <v>0</v>
      </c>
      <c r="T119" s="767" t="str">
        <f t="shared" si="36"/>
        <v/>
      </c>
      <c r="U119" s="767">
        <f t="shared" si="37"/>
        <v>0</v>
      </c>
      <c r="V119" s="767">
        <f t="shared" si="38"/>
        <v>0</v>
      </c>
      <c r="W119" s="767">
        <f t="shared" si="39"/>
        <v>0</v>
      </c>
      <c r="X119" s="767">
        <f t="shared" si="40"/>
        <v>0</v>
      </c>
      <c r="Y119" s="754"/>
      <c r="Z119" s="754"/>
      <c r="AA119" s="754"/>
    </row>
    <row r="120" spans="2:27" s="755" customFormat="1" x14ac:dyDescent="0.2">
      <c r="B120" s="923" t="s">
        <v>660</v>
      </c>
      <c r="C120" s="3089"/>
      <c r="D120" s="3090"/>
      <c r="E120" s="3091"/>
      <c r="F120" s="927"/>
      <c r="G120" s="860">
        <f t="shared" si="33"/>
        <v>0</v>
      </c>
      <c r="H120" s="760">
        <f t="shared" si="34"/>
        <v>0</v>
      </c>
      <c r="I120" s="928">
        <f t="shared" si="32"/>
        <v>0</v>
      </c>
      <c r="J120" s="3073"/>
      <c r="K120" s="3074"/>
      <c r="L120" s="2997"/>
      <c r="M120" s="2979"/>
      <c r="N120" s="2998"/>
      <c r="O120" s="1508"/>
      <c r="P120" s="929"/>
      <c r="Q120" s="929"/>
      <c r="R120" s="930"/>
      <c r="S120" s="767">
        <f t="shared" si="35"/>
        <v>0</v>
      </c>
      <c r="T120" s="767" t="str">
        <f t="shared" si="36"/>
        <v/>
      </c>
      <c r="U120" s="767">
        <f t="shared" si="37"/>
        <v>0</v>
      </c>
      <c r="V120" s="767">
        <f t="shared" si="38"/>
        <v>0</v>
      </c>
      <c r="W120" s="767">
        <f t="shared" si="39"/>
        <v>0</v>
      </c>
      <c r="X120" s="767">
        <f t="shared" si="40"/>
        <v>0</v>
      </c>
      <c r="Y120" s="754"/>
      <c r="Z120" s="754"/>
      <c r="AA120" s="754"/>
    </row>
    <row r="121" spans="2:27" s="755" customFormat="1" ht="21" customHeight="1" x14ac:dyDescent="0.2">
      <c r="B121" s="931"/>
      <c r="C121" s="932"/>
      <c r="D121" s="932"/>
      <c r="E121" s="933"/>
      <c r="F121" s="934"/>
      <c r="G121" s="935" t="s">
        <v>661</v>
      </c>
      <c r="H121" s="936">
        <f>SUM(H101:H120)</f>
        <v>0</v>
      </c>
      <c r="I121" s="937">
        <f>SUM(I101:I120)</f>
        <v>0</v>
      </c>
      <c r="J121" s="938"/>
      <c r="K121" s="939"/>
      <c r="L121" s="940"/>
      <c r="M121" s="1183">
        <f>SUM(V101:V120)</f>
        <v>0</v>
      </c>
      <c r="N121" s="941"/>
      <c r="O121" s="942"/>
      <c r="P121" s="943"/>
      <c r="Q121" s="943"/>
      <c r="R121" s="944"/>
      <c r="S121" s="767"/>
      <c r="T121" s="767"/>
      <c r="U121" s="767"/>
      <c r="V121" s="767"/>
      <c r="W121" s="735">
        <f>SUM(W101:W120)</f>
        <v>0</v>
      </c>
      <c r="X121" s="735">
        <f>SUM(X101:X120)</f>
        <v>0</v>
      </c>
      <c r="Y121" s="754"/>
      <c r="Z121" s="754"/>
      <c r="AA121" s="754"/>
    </row>
    <row r="122" spans="2:27" s="842" customFormat="1" ht="12.75" customHeight="1" x14ac:dyDescent="0.2">
      <c r="B122" s="965"/>
      <c r="C122" s="836"/>
      <c r="D122" s="836"/>
      <c r="E122" s="986"/>
      <c r="F122" s="967"/>
      <c r="G122" s="967"/>
      <c r="H122" s="836"/>
      <c r="I122" s="836"/>
      <c r="J122" s="836"/>
      <c r="K122" s="836"/>
      <c r="L122" s="836"/>
      <c r="M122" s="836"/>
      <c r="N122" s="836"/>
      <c r="O122" s="836"/>
      <c r="P122" s="836"/>
      <c r="Q122" s="836"/>
      <c r="R122" s="946"/>
      <c r="S122" s="767"/>
      <c r="T122" s="767"/>
      <c r="U122" s="767"/>
      <c r="V122" s="767"/>
      <c r="W122" s="840"/>
      <c r="X122" s="840"/>
      <c r="Y122" s="840"/>
      <c r="Z122" s="840"/>
      <c r="AA122" s="840"/>
    </row>
    <row r="123" spans="2:27" s="725" customFormat="1" ht="21" customHeight="1" x14ac:dyDescent="0.2">
      <c r="B123" s="2076" t="s">
        <v>662</v>
      </c>
      <c r="C123" s="2077"/>
      <c r="D123" s="2079"/>
      <c r="E123" s="2080"/>
      <c r="F123" s="2080"/>
      <c r="G123" s="2081"/>
      <c r="H123" s="2082"/>
      <c r="I123" s="2083"/>
      <c r="J123" s="3042" t="s">
        <v>663</v>
      </c>
      <c r="K123" s="3043"/>
      <c r="L123" s="3043"/>
      <c r="M123" s="3043"/>
      <c r="N123" s="3043"/>
      <c r="O123" s="3043"/>
      <c r="P123" s="3043"/>
      <c r="Q123" s="3043"/>
      <c r="R123" s="3044"/>
      <c r="S123" s="767"/>
      <c r="T123" s="767"/>
      <c r="U123" s="767"/>
      <c r="V123" s="767"/>
      <c r="W123" s="723"/>
      <c r="X123" s="723"/>
      <c r="Y123" s="723"/>
      <c r="Z123" s="723"/>
      <c r="AA123" s="723"/>
    </row>
    <row r="124" spans="2:27" s="755" customFormat="1" ht="12.75" customHeight="1" x14ac:dyDescent="0.2">
      <c r="B124" s="891"/>
      <c r="C124" s="2985" t="s">
        <v>664</v>
      </c>
      <c r="D124" s="2987"/>
      <c r="E124" s="892" t="s">
        <v>665</v>
      </c>
      <c r="F124" s="892" t="s">
        <v>666</v>
      </c>
      <c r="G124" s="893" t="s">
        <v>623</v>
      </c>
      <c r="H124" s="729" t="s">
        <v>443</v>
      </c>
      <c r="I124" s="730" t="s">
        <v>443</v>
      </c>
      <c r="J124" s="3045" t="s">
        <v>624</v>
      </c>
      <c r="K124" s="3046"/>
      <c r="L124" s="2985" t="s">
        <v>667</v>
      </c>
      <c r="M124" s="2987"/>
      <c r="N124" s="727" t="s">
        <v>668</v>
      </c>
      <c r="O124" s="727" t="s">
        <v>808</v>
      </c>
      <c r="P124" s="3047" t="s">
        <v>627</v>
      </c>
      <c r="Q124" s="3047"/>
      <c r="R124" s="3048"/>
      <c r="S124" s="767"/>
      <c r="T124" s="767"/>
      <c r="U124" s="767"/>
      <c r="V124" s="767"/>
      <c r="W124" s="754"/>
      <c r="X124" s="754"/>
      <c r="Y124" s="754"/>
      <c r="Z124" s="754"/>
      <c r="AA124" s="754"/>
    </row>
    <row r="125" spans="2:27" s="902" customFormat="1" x14ac:dyDescent="0.2">
      <c r="B125" s="894"/>
      <c r="C125" s="947"/>
      <c r="D125" s="898"/>
      <c r="E125" s="898" t="s">
        <v>669</v>
      </c>
      <c r="F125" s="898" t="s">
        <v>670</v>
      </c>
      <c r="G125" s="853"/>
      <c r="H125" s="853" t="s">
        <v>445</v>
      </c>
      <c r="I125" s="854" t="s">
        <v>315</v>
      </c>
      <c r="J125" s="3049"/>
      <c r="K125" s="3050"/>
      <c r="L125" s="948"/>
      <c r="M125" s="949"/>
      <c r="N125" s="950" t="s">
        <v>669</v>
      </c>
      <c r="O125" s="950" t="s">
        <v>809</v>
      </c>
      <c r="P125" s="727" t="s">
        <v>632</v>
      </c>
      <c r="Q125" s="727" t="s">
        <v>633</v>
      </c>
      <c r="R125" s="899" t="s">
        <v>634</v>
      </c>
      <c r="S125" s="767"/>
      <c r="T125" s="767"/>
      <c r="U125" s="767"/>
      <c r="V125" s="767"/>
      <c r="W125" s="900"/>
      <c r="X125" s="900"/>
      <c r="Y125" s="900"/>
      <c r="Z125" s="900"/>
      <c r="AA125" s="900"/>
    </row>
    <row r="126" spans="2:27" s="747" customFormat="1" x14ac:dyDescent="0.2">
      <c r="B126" s="737"/>
      <c r="C126" s="738"/>
      <c r="D126" s="905"/>
      <c r="E126" s="905" t="s">
        <v>629</v>
      </c>
      <c r="F126" s="905" t="s">
        <v>629</v>
      </c>
      <c r="G126" s="739"/>
      <c r="H126" s="906"/>
      <c r="I126" s="859"/>
      <c r="J126" s="907"/>
      <c r="K126" s="908"/>
      <c r="L126" s="909"/>
      <c r="M126" s="908"/>
      <c r="N126" s="910" t="s">
        <v>1018</v>
      </c>
      <c r="O126" s="910" t="s">
        <v>1018</v>
      </c>
      <c r="P126" s="739"/>
      <c r="Q126" s="739" t="s">
        <v>635</v>
      </c>
      <c r="R126" s="911" t="s">
        <v>636</v>
      </c>
      <c r="S126" s="767"/>
      <c r="T126" s="767"/>
      <c r="U126" s="767"/>
      <c r="V126" s="767"/>
      <c r="W126" s="745"/>
      <c r="X126" s="745"/>
      <c r="Y126" s="745"/>
      <c r="Z126" s="745"/>
      <c r="AA126" s="745"/>
    </row>
    <row r="127" spans="2:27" s="957" customFormat="1" ht="14.25" customHeight="1" x14ac:dyDescent="0.2">
      <c r="B127" s="951" t="s">
        <v>450</v>
      </c>
      <c r="C127" s="3038" t="s">
        <v>671</v>
      </c>
      <c r="D127" s="3039"/>
      <c r="E127" s="952" t="s">
        <v>174</v>
      </c>
      <c r="F127" s="952" t="s">
        <v>163</v>
      </c>
      <c r="G127" s="953">
        <f>IF(OR(E127="",F127=""),0,IF(AND(E127="บรรยาย",F127="ระดับชาติ"),22.5,IF(AND(E127="โปสเตอร์",F127="ระดับชาติ"),10.5,IF(AND(E127="บรรยาย",F127="ระดับนานาชาติ"),45,IF(AND(E127="โปสเตอร์",F127="ระดับนานาชาติ"),22.5,0)))))</f>
        <v>10.5</v>
      </c>
      <c r="H127" s="954">
        <f>IF(C127&lt;&gt;"",G127/2,0)</f>
        <v>5.25</v>
      </c>
      <c r="I127" s="955">
        <f t="shared" ref="I127:I147" si="41">H127/15</f>
        <v>0.35</v>
      </c>
      <c r="J127" s="3085" t="str">
        <f>IF(F127="ระดับชาติ","0.2 รายงานสืบเนื่องจากการประชุมวิชาการระดับชาติ",IF(F127="ระดับนานาชาติ","0.4 รายงานสืบเนื่องจากการประชุมวิชาการระดับนานาชาติ",""))</f>
        <v>0.2 รายงานสืบเนื่องจากการประชุมวิชาการระดับชาติ</v>
      </c>
      <c r="K127" s="3086"/>
      <c r="L127" s="3087" t="s">
        <v>672</v>
      </c>
      <c r="M127" s="3088"/>
      <c r="N127" s="1509">
        <v>240829</v>
      </c>
      <c r="O127" s="1509">
        <v>240829</v>
      </c>
      <c r="P127" s="917"/>
      <c r="Q127" s="917" t="s">
        <v>172</v>
      </c>
      <c r="R127" s="918" t="s">
        <v>172</v>
      </c>
      <c r="S127" s="767"/>
      <c r="T127" s="767"/>
      <c r="U127" s="767"/>
      <c r="V127" s="767"/>
      <c r="W127" s="921" t="s">
        <v>639</v>
      </c>
      <c r="X127" s="921" t="s">
        <v>640</v>
      </c>
      <c r="Y127" s="956"/>
      <c r="Z127" s="956"/>
      <c r="AA127" s="956"/>
    </row>
    <row r="128" spans="2:27" s="755" customFormat="1" x14ac:dyDescent="0.2">
      <c r="B128" s="958" t="s">
        <v>641</v>
      </c>
      <c r="C128" s="3008"/>
      <c r="D128" s="3009"/>
      <c r="E128" s="927"/>
      <c r="F128" s="927"/>
      <c r="G128" s="959">
        <f>IF(OR(E128="",F128=""),0,IF(AND(E128="บรรยาย",F128="ระดับชาติ"),22.5,IF(AND(E128="โปสเตอร์",F128="ระดับชาติ"),10.5,IF(AND(E128="บรรยาย",F128="ระดับนานาชาติ"),45,IF(AND(E128="โปสเตอร์",F128="ระดับนานาชาติ"),22.5,0)))))</f>
        <v>0</v>
      </c>
      <c r="H128" s="960">
        <f>IF(C128&lt;&gt;"",G128/2,0)</f>
        <v>0</v>
      </c>
      <c r="I128" s="928">
        <f t="shared" si="41"/>
        <v>0</v>
      </c>
      <c r="J128" s="3081" t="str">
        <f>IF(F128="ระดับชาติ","0.2 รายงานสืบเนื่องจากการประชุมวิชาการระดับชาติ",IF(F128="ระดับนานาชาติ","0.4 รายงานสืบเนื่องจากการประชุมวิชาการระดับนานาชาติ",""))</f>
        <v/>
      </c>
      <c r="K128" s="3082"/>
      <c r="L128" s="3083"/>
      <c r="M128" s="3084"/>
      <c r="N128" s="1510"/>
      <c r="O128" s="1510"/>
      <c r="P128" s="925"/>
      <c r="Q128" s="925"/>
      <c r="R128" s="926"/>
      <c r="S128" s="767">
        <f>IF(AND(F128&lt;&gt;"",C128&lt;&gt;""),IF(AND(F128="ระดับชาติ",C128&lt;&gt;""),3,IF(AND(F128="ระดับนานาชาติ",C128&lt;&gt;""),5,0)),0)</f>
        <v>0</v>
      </c>
      <c r="T128" s="767" t="str">
        <f>IF(J128&lt;&gt;"",MID(J128,1,3),"")</f>
        <v/>
      </c>
      <c r="U128" s="767">
        <f>IF(S128&lt;&gt;0,IF(T128&lt;&gt;"",IF(OR(T128="0.2",T128="0.4",T128="0.6"),1,IF(T128="0.8",2,IF(T128="1.0",3,0))),0),0)</f>
        <v>0</v>
      </c>
      <c r="V128" s="767">
        <f>IF(O128="",0,IF(U128=1,IF(AND(O128&gt;=$S$21,O128&lt;=$T$21),1,0),IF(U128=2,IF(AND(O128&gt;=$S$21,O128&lt;=$T$21),1,0),IF(U128=3,IF(AND(O128&gt;=$S$21,O128&lt;=$T$21),1,0),0))))</f>
        <v>0</v>
      </c>
      <c r="W128" s="767">
        <f>IF(AND(U128&lt;&gt;0,V128&lt;&gt;0),1,0)</f>
        <v>0</v>
      </c>
      <c r="X128" s="767">
        <f>IF(AND(OR(U128=2,U128=3),V128&lt;&gt;0),1,0)</f>
        <v>0</v>
      </c>
      <c r="Y128" s="754"/>
      <c r="Z128" s="754"/>
      <c r="AA128" s="754"/>
    </row>
    <row r="129" spans="2:27" s="755" customFormat="1" x14ac:dyDescent="0.2">
      <c r="B129" s="958" t="s">
        <v>642</v>
      </c>
      <c r="C129" s="3008"/>
      <c r="D129" s="3009"/>
      <c r="E129" s="927"/>
      <c r="F129" s="927"/>
      <c r="G129" s="959">
        <f t="shared" ref="G129:G147" si="42">IF(OR(E129="",F129=""),0,IF(AND(E129="บรรยาย",F129="ระดับชาติ"),22.5,IF(AND(E129="โปสเตอร์",F129="ระดับชาติ"),10.5,IF(AND(E129="บรรยาย",F129="ระดับนานาชาติ"),45,IF(AND(E129="โปสเตอร์",F129="ระดับนานาชาติ"),22.5,0)))))</f>
        <v>0</v>
      </c>
      <c r="H129" s="960">
        <f t="shared" ref="H129:H147" si="43">IF(C129&lt;&gt;"",G129/2,0)</f>
        <v>0</v>
      </c>
      <c r="I129" s="928">
        <f t="shared" si="41"/>
        <v>0</v>
      </c>
      <c r="J129" s="3081" t="str">
        <f t="shared" ref="J129:J147" si="44">IF(F129="ระดับชาติ","0.2 รายงานสืบเนื่องจากการประชุมวิชาการระดับชาติ",IF(F129="ระดับนานาชาติ","0.4 รายงานสืบเนื่องจากการประชุมวิชาการระดับนานาชาติ",""))</f>
        <v/>
      </c>
      <c r="K129" s="3082"/>
      <c r="L129" s="3083"/>
      <c r="M129" s="3084"/>
      <c r="N129" s="1510"/>
      <c r="O129" s="1510"/>
      <c r="P129" s="925"/>
      <c r="Q129" s="925"/>
      <c r="R129" s="926"/>
      <c r="S129" s="767">
        <f t="shared" ref="S129:S147" si="45">IF(AND(F129&lt;&gt;"",C129&lt;&gt;""),IF(AND(F129="ระดับชาติ",C129&lt;&gt;""),3,IF(AND(F129="ระดับนานาชาติ",C129&lt;&gt;""),5,0)),0)</f>
        <v>0</v>
      </c>
      <c r="T129" s="767" t="str">
        <f t="shared" ref="T129:T147" si="46">IF(J129&lt;&gt;"",MID(J129,1,3),"")</f>
        <v/>
      </c>
      <c r="U129" s="767">
        <f t="shared" ref="U129:U147" si="47">IF(S129&lt;&gt;0,IF(T129&lt;&gt;"",IF(OR(T129="0.2",T129="0.4",T129="0.6"),1,IF(T129="0.8",2,IF(T129="1.0",3,0))),0),0)</f>
        <v>0</v>
      </c>
      <c r="V129" s="767">
        <f t="shared" ref="V129:V147" si="48">IF(O129="",0,IF(U129=1,IF(AND(O129&gt;=$S$21,O129&lt;=$T$21),1,0),IF(U129=2,IF(AND(O129&gt;=$S$21,O129&lt;=$T$21),1,0),IF(U129=3,IF(AND(O129&gt;=$S$21,O129&lt;=$T$21),1,0),0))))</f>
        <v>0</v>
      </c>
      <c r="W129" s="767">
        <f t="shared" ref="W129:W147" si="49">IF(AND(U129&lt;&gt;0,V129&lt;&gt;0),1,0)</f>
        <v>0</v>
      </c>
      <c r="X129" s="767">
        <f t="shared" ref="X129:X147" si="50">IF(AND(OR(U129=2,U129=3),V129&lt;&gt;0),1,0)</f>
        <v>0</v>
      </c>
      <c r="Y129" s="754"/>
      <c r="Z129" s="754"/>
      <c r="AA129" s="754"/>
    </row>
    <row r="130" spans="2:27" s="755" customFormat="1" x14ac:dyDescent="0.2">
      <c r="B130" s="958" t="s">
        <v>643</v>
      </c>
      <c r="C130" s="3008"/>
      <c r="D130" s="3009"/>
      <c r="E130" s="927"/>
      <c r="F130" s="927"/>
      <c r="G130" s="959">
        <f t="shared" si="42"/>
        <v>0</v>
      </c>
      <c r="H130" s="960">
        <f t="shared" si="43"/>
        <v>0</v>
      </c>
      <c r="I130" s="928">
        <f t="shared" si="41"/>
        <v>0</v>
      </c>
      <c r="J130" s="3081" t="str">
        <f t="shared" si="44"/>
        <v/>
      </c>
      <c r="K130" s="3082"/>
      <c r="L130" s="3083"/>
      <c r="M130" s="3084"/>
      <c r="N130" s="1510"/>
      <c r="O130" s="1510"/>
      <c r="P130" s="925"/>
      <c r="Q130" s="925"/>
      <c r="R130" s="926"/>
      <c r="S130" s="767">
        <f t="shared" si="45"/>
        <v>0</v>
      </c>
      <c r="T130" s="767" t="str">
        <f t="shared" si="46"/>
        <v/>
      </c>
      <c r="U130" s="767">
        <f t="shared" si="47"/>
        <v>0</v>
      </c>
      <c r="V130" s="767">
        <f t="shared" si="48"/>
        <v>0</v>
      </c>
      <c r="W130" s="767">
        <f t="shared" si="49"/>
        <v>0</v>
      </c>
      <c r="X130" s="767">
        <f t="shared" si="50"/>
        <v>0</v>
      </c>
      <c r="Y130" s="754"/>
      <c r="Z130" s="754"/>
      <c r="AA130" s="754"/>
    </row>
    <row r="131" spans="2:27" s="755" customFormat="1" x14ac:dyDescent="0.2">
      <c r="B131" s="958" t="s">
        <v>644</v>
      </c>
      <c r="C131" s="3008"/>
      <c r="D131" s="3009"/>
      <c r="E131" s="927"/>
      <c r="F131" s="927"/>
      <c r="G131" s="959">
        <f t="shared" si="42"/>
        <v>0</v>
      </c>
      <c r="H131" s="960">
        <f t="shared" si="43"/>
        <v>0</v>
      </c>
      <c r="I131" s="928">
        <f t="shared" si="41"/>
        <v>0</v>
      </c>
      <c r="J131" s="3081" t="str">
        <f t="shared" si="44"/>
        <v/>
      </c>
      <c r="K131" s="3082"/>
      <c r="L131" s="3083"/>
      <c r="M131" s="3084"/>
      <c r="N131" s="1510"/>
      <c r="O131" s="1510"/>
      <c r="P131" s="925"/>
      <c r="Q131" s="925"/>
      <c r="R131" s="926"/>
      <c r="S131" s="767">
        <f t="shared" si="45"/>
        <v>0</v>
      </c>
      <c r="T131" s="767" t="str">
        <f t="shared" si="46"/>
        <v/>
      </c>
      <c r="U131" s="767">
        <f t="shared" si="47"/>
        <v>0</v>
      </c>
      <c r="V131" s="767">
        <f t="shared" si="48"/>
        <v>0</v>
      </c>
      <c r="W131" s="767">
        <f t="shared" si="49"/>
        <v>0</v>
      </c>
      <c r="X131" s="767">
        <f t="shared" si="50"/>
        <v>0</v>
      </c>
      <c r="Y131" s="754"/>
      <c r="Z131" s="754"/>
      <c r="AA131" s="754"/>
    </row>
    <row r="132" spans="2:27" s="755" customFormat="1" x14ac:dyDescent="0.2">
      <c r="B132" s="958" t="s">
        <v>645</v>
      </c>
      <c r="C132" s="3008"/>
      <c r="D132" s="3009"/>
      <c r="E132" s="927"/>
      <c r="F132" s="927"/>
      <c r="G132" s="959">
        <f t="shared" si="42"/>
        <v>0</v>
      </c>
      <c r="H132" s="960">
        <f t="shared" si="43"/>
        <v>0</v>
      </c>
      <c r="I132" s="928">
        <f t="shared" si="41"/>
        <v>0</v>
      </c>
      <c r="J132" s="3081" t="str">
        <f t="shared" si="44"/>
        <v/>
      </c>
      <c r="K132" s="3082"/>
      <c r="L132" s="3083"/>
      <c r="M132" s="3084"/>
      <c r="N132" s="1510"/>
      <c r="O132" s="1510"/>
      <c r="P132" s="925"/>
      <c r="Q132" s="925"/>
      <c r="R132" s="926"/>
      <c r="S132" s="767">
        <f t="shared" si="45"/>
        <v>0</v>
      </c>
      <c r="T132" s="767" t="str">
        <f t="shared" si="46"/>
        <v/>
      </c>
      <c r="U132" s="767">
        <f t="shared" si="47"/>
        <v>0</v>
      </c>
      <c r="V132" s="767">
        <f t="shared" si="48"/>
        <v>0</v>
      </c>
      <c r="W132" s="767">
        <f t="shared" si="49"/>
        <v>0</v>
      </c>
      <c r="X132" s="767">
        <f t="shared" si="50"/>
        <v>0</v>
      </c>
      <c r="Y132" s="754"/>
      <c r="Z132" s="754"/>
      <c r="AA132" s="754"/>
    </row>
    <row r="133" spans="2:27" s="755" customFormat="1" x14ac:dyDescent="0.2">
      <c r="B133" s="958" t="s">
        <v>646</v>
      </c>
      <c r="C133" s="3008"/>
      <c r="D133" s="3009"/>
      <c r="E133" s="927"/>
      <c r="F133" s="927"/>
      <c r="G133" s="959">
        <f t="shared" si="42"/>
        <v>0</v>
      </c>
      <c r="H133" s="960">
        <f t="shared" si="43"/>
        <v>0</v>
      </c>
      <c r="I133" s="928">
        <f t="shared" si="41"/>
        <v>0</v>
      </c>
      <c r="J133" s="3081" t="str">
        <f t="shared" si="44"/>
        <v/>
      </c>
      <c r="K133" s="3082"/>
      <c r="L133" s="3083"/>
      <c r="M133" s="3084"/>
      <c r="N133" s="1510"/>
      <c r="O133" s="1510"/>
      <c r="P133" s="925"/>
      <c r="Q133" s="925"/>
      <c r="R133" s="926"/>
      <c r="S133" s="767">
        <f t="shared" si="45"/>
        <v>0</v>
      </c>
      <c r="T133" s="767" t="str">
        <f t="shared" si="46"/>
        <v/>
      </c>
      <c r="U133" s="767">
        <f t="shared" si="47"/>
        <v>0</v>
      </c>
      <c r="V133" s="767">
        <f t="shared" si="48"/>
        <v>0</v>
      </c>
      <c r="W133" s="767">
        <f t="shared" si="49"/>
        <v>0</v>
      </c>
      <c r="X133" s="767">
        <f t="shared" si="50"/>
        <v>0</v>
      </c>
      <c r="Y133" s="754"/>
      <c r="Z133" s="754"/>
      <c r="AA133" s="754"/>
    </row>
    <row r="134" spans="2:27" s="755" customFormat="1" x14ac:dyDescent="0.2">
      <c r="B134" s="958" t="s">
        <v>647</v>
      </c>
      <c r="C134" s="3008"/>
      <c r="D134" s="3009"/>
      <c r="E134" s="927"/>
      <c r="F134" s="927"/>
      <c r="G134" s="959">
        <f t="shared" si="42"/>
        <v>0</v>
      </c>
      <c r="H134" s="960">
        <f t="shared" si="43"/>
        <v>0</v>
      </c>
      <c r="I134" s="928">
        <f t="shared" si="41"/>
        <v>0</v>
      </c>
      <c r="J134" s="3081" t="str">
        <f t="shared" si="44"/>
        <v/>
      </c>
      <c r="K134" s="3082"/>
      <c r="L134" s="3083"/>
      <c r="M134" s="3084"/>
      <c r="N134" s="1510"/>
      <c r="O134" s="1510"/>
      <c r="P134" s="925"/>
      <c r="Q134" s="925"/>
      <c r="R134" s="926"/>
      <c r="S134" s="767">
        <f t="shared" si="45"/>
        <v>0</v>
      </c>
      <c r="T134" s="767" t="str">
        <f t="shared" si="46"/>
        <v/>
      </c>
      <c r="U134" s="767">
        <f t="shared" si="47"/>
        <v>0</v>
      </c>
      <c r="V134" s="767">
        <f t="shared" si="48"/>
        <v>0</v>
      </c>
      <c r="W134" s="767">
        <f t="shared" si="49"/>
        <v>0</v>
      </c>
      <c r="X134" s="767">
        <f t="shared" si="50"/>
        <v>0</v>
      </c>
      <c r="Y134" s="754"/>
      <c r="Z134" s="754"/>
      <c r="AA134" s="754"/>
    </row>
    <row r="135" spans="2:27" s="755" customFormat="1" x14ac:dyDescent="0.2">
      <c r="B135" s="958" t="s">
        <v>648</v>
      </c>
      <c r="C135" s="3008"/>
      <c r="D135" s="3009"/>
      <c r="E135" s="927"/>
      <c r="F135" s="927"/>
      <c r="G135" s="959">
        <f t="shared" si="42"/>
        <v>0</v>
      </c>
      <c r="H135" s="960">
        <f t="shared" si="43"/>
        <v>0</v>
      </c>
      <c r="I135" s="928">
        <f t="shared" si="41"/>
        <v>0</v>
      </c>
      <c r="J135" s="3081" t="str">
        <f t="shared" si="44"/>
        <v/>
      </c>
      <c r="K135" s="3082"/>
      <c r="L135" s="3083"/>
      <c r="M135" s="3084"/>
      <c r="N135" s="1510"/>
      <c r="O135" s="1510"/>
      <c r="P135" s="925"/>
      <c r="Q135" s="925"/>
      <c r="R135" s="926"/>
      <c r="S135" s="767">
        <f t="shared" si="45"/>
        <v>0</v>
      </c>
      <c r="T135" s="767" t="str">
        <f t="shared" si="46"/>
        <v/>
      </c>
      <c r="U135" s="767">
        <f t="shared" si="47"/>
        <v>0</v>
      </c>
      <c r="V135" s="767">
        <f t="shared" si="48"/>
        <v>0</v>
      </c>
      <c r="W135" s="767">
        <f t="shared" si="49"/>
        <v>0</v>
      </c>
      <c r="X135" s="767">
        <f t="shared" si="50"/>
        <v>0</v>
      </c>
      <c r="Y135" s="754"/>
      <c r="Z135" s="754"/>
      <c r="AA135" s="754"/>
    </row>
    <row r="136" spans="2:27" s="755" customFormat="1" x14ac:dyDescent="0.2">
      <c r="B136" s="958" t="s">
        <v>649</v>
      </c>
      <c r="C136" s="3008"/>
      <c r="D136" s="3009"/>
      <c r="E136" s="927"/>
      <c r="F136" s="927"/>
      <c r="G136" s="959">
        <f t="shared" si="42"/>
        <v>0</v>
      </c>
      <c r="H136" s="960">
        <f t="shared" si="43"/>
        <v>0</v>
      </c>
      <c r="I136" s="928">
        <f t="shared" si="41"/>
        <v>0</v>
      </c>
      <c r="J136" s="3081" t="str">
        <f t="shared" si="44"/>
        <v/>
      </c>
      <c r="K136" s="3082"/>
      <c r="L136" s="3083"/>
      <c r="M136" s="3084"/>
      <c r="N136" s="1510"/>
      <c r="O136" s="1510"/>
      <c r="P136" s="925"/>
      <c r="Q136" s="925"/>
      <c r="R136" s="926"/>
      <c r="S136" s="767">
        <f t="shared" si="45"/>
        <v>0</v>
      </c>
      <c r="T136" s="767" t="str">
        <f t="shared" si="46"/>
        <v/>
      </c>
      <c r="U136" s="767">
        <f t="shared" si="47"/>
        <v>0</v>
      </c>
      <c r="V136" s="767">
        <f t="shared" si="48"/>
        <v>0</v>
      </c>
      <c r="W136" s="767">
        <f t="shared" si="49"/>
        <v>0</v>
      </c>
      <c r="X136" s="767">
        <f t="shared" si="50"/>
        <v>0</v>
      </c>
      <c r="Y136" s="754"/>
      <c r="Z136" s="754"/>
      <c r="AA136" s="754"/>
    </row>
    <row r="137" spans="2:27" s="755" customFormat="1" x14ac:dyDescent="0.2">
      <c r="B137" s="958" t="s">
        <v>650</v>
      </c>
      <c r="C137" s="3008"/>
      <c r="D137" s="3009"/>
      <c r="E137" s="927"/>
      <c r="F137" s="927"/>
      <c r="G137" s="959">
        <f t="shared" si="42"/>
        <v>0</v>
      </c>
      <c r="H137" s="960">
        <f t="shared" si="43"/>
        <v>0</v>
      </c>
      <c r="I137" s="928">
        <f t="shared" si="41"/>
        <v>0</v>
      </c>
      <c r="J137" s="3081" t="str">
        <f t="shared" si="44"/>
        <v/>
      </c>
      <c r="K137" s="3082"/>
      <c r="L137" s="3083"/>
      <c r="M137" s="3084"/>
      <c r="N137" s="1510"/>
      <c r="O137" s="1510"/>
      <c r="P137" s="925"/>
      <c r="Q137" s="925"/>
      <c r="R137" s="926"/>
      <c r="S137" s="767">
        <f t="shared" si="45"/>
        <v>0</v>
      </c>
      <c r="T137" s="767" t="str">
        <f t="shared" si="46"/>
        <v/>
      </c>
      <c r="U137" s="767">
        <f t="shared" si="47"/>
        <v>0</v>
      </c>
      <c r="V137" s="767">
        <f t="shared" si="48"/>
        <v>0</v>
      </c>
      <c r="W137" s="767">
        <f t="shared" si="49"/>
        <v>0</v>
      </c>
      <c r="X137" s="767">
        <f t="shared" si="50"/>
        <v>0</v>
      </c>
      <c r="Y137" s="754"/>
      <c r="Z137" s="754"/>
      <c r="AA137" s="754"/>
    </row>
    <row r="138" spans="2:27" s="755" customFormat="1" x14ac:dyDescent="0.2">
      <c r="B138" s="958" t="s">
        <v>651</v>
      </c>
      <c r="C138" s="3008"/>
      <c r="D138" s="3009"/>
      <c r="E138" s="927"/>
      <c r="F138" s="961"/>
      <c r="G138" s="959">
        <f t="shared" si="42"/>
        <v>0</v>
      </c>
      <c r="H138" s="960">
        <f t="shared" si="43"/>
        <v>0</v>
      </c>
      <c r="I138" s="928">
        <f t="shared" si="41"/>
        <v>0</v>
      </c>
      <c r="J138" s="3081" t="str">
        <f t="shared" si="44"/>
        <v/>
      </c>
      <c r="K138" s="3082"/>
      <c r="L138" s="3083"/>
      <c r="M138" s="3084"/>
      <c r="N138" s="1510"/>
      <c r="O138" s="1510"/>
      <c r="P138" s="929"/>
      <c r="Q138" s="929"/>
      <c r="R138" s="930"/>
      <c r="S138" s="767">
        <f t="shared" si="45"/>
        <v>0</v>
      </c>
      <c r="T138" s="767" t="str">
        <f t="shared" si="46"/>
        <v/>
      </c>
      <c r="U138" s="767">
        <f t="shared" si="47"/>
        <v>0</v>
      </c>
      <c r="V138" s="767">
        <f t="shared" si="48"/>
        <v>0</v>
      </c>
      <c r="W138" s="767">
        <f t="shared" si="49"/>
        <v>0</v>
      </c>
      <c r="X138" s="767">
        <f t="shared" si="50"/>
        <v>0</v>
      </c>
      <c r="Y138" s="754"/>
      <c r="Z138" s="754"/>
      <c r="AA138" s="754"/>
    </row>
    <row r="139" spans="2:27" s="755" customFormat="1" x14ac:dyDescent="0.2">
      <c r="B139" s="958" t="s">
        <v>652</v>
      </c>
      <c r="C139" s="3008"/>
      <c r="D139" s="3009"/>
      <c r="E139" s="927"/>
      <c r="F139" s="961"/>
      <c r="G139" s="959">
        <f t="shared" si="42"/>
        <v>0</v>
      </c>
      <c r="H139" s="960">
        <f t="shared" si="43"/>
        <v>0</v>
      </c>
      <c r="I139" s="928">
        <f t="shared" si="41"/>
        <v>0</v>
      </c>
      <c r="J139" s="3081" t="str">
        <f t="shared" si="44"/>
        <v/>
      </c>
      <c r="K139" s="3082"/>
      <c r="L139" s="3083"/>
      <c r="M139" s="3084"/>
      <c r="N139" s="1510"/>
      <c r="O139" s="1510"/>
      <c r="P139" s="929"/>
      <c r="Q139" s="929"/>
      <c r="R139" s="930"/>
      <c r="S139" s="767">
        <f t="shared" si="45"/>
        <v>0</v>
      </c>
      <c r="T139" s="767" t="str">
        <f t="shared" si="46"/>
        <v/>
      </c>
      <c r="U139" s="767">
        <f t="shared" si="47"/>
        <v>0</v>
      </c>
      <c r="V139" s="767">
        <f t="shared" si="48"/>
        <v>0</v>
      </c>
      <c r="W139" s="767">
        <f t="shared" si="49"/>
        <v>0</v>
      </c>
      <c r="X139" s="767">
        <f t="shared" si="50"/>
        <v>0</v>
      </c>
      <c r="Y139" s="754"/>
      <c r="Z139" s="754"/>
      <c r="AA139" s="754"/>
    </row>
    <row r="140" spans="2:27" s="755" customFormat="1" x14ac:dyDescent="0.2">
      <c r="B140" s="958" t="s">
        <v>653</v>
      </c>
      <c r="C140" s="3008"/>
      <c r="D140" s="3009"/>
      <c r="E140" s="927"/>
      <c r="F140" s="961"/>
      <c r="G140" s="959">
        <f t="shared" si="42"/>
        <v>0</v>
      </c>
      <c r="H140" s="960">
        <f t="shared" si="43"/>
        <v>0</v>
      </c>
      <c r="I140" s="928">
        <f t="shared" si="41"/>
        <v>0</v>
      </c>
      <c r="J140" s="3081" t="str">
        <f t="shared" si="44"/>
        <v/>
      </c>
      <c r="K140" s="3082"/>
      <c r="L140" s="3083"/>
      <c r="M140" s="3084"/>
      <c r="N140" s="1510"/>
      <c r="O140" s="1510"/>
      <c r="P140" s="929"/>
      <c r="Q140" s="929"/>
      <c r="R140" s="930"/>
      <c r="S140" s="767">
        <f t="shared" si="45"/>
        <v>0</v>
      </c>
      <c r="T140" s="767" t="str">
        <f t="shared" si="46"/>
        <v/>
      </c>
      <c r="U140" s="767">
        <f t="shared" si="47"/>
        <v>0</v>
      </c>
      <c r="V140" s="767">
        <f t="shared" si="48"/>
        <v>0</v>
      </c>
      <c r="W140" s="767">
        <f t="shared" si="49"/>
        <v>0</v>
      </c>
      <c r="X140" s="767">
        <f t="shared" si="50"/>
        <v>0</v>
      </c>
      <c r="Y140" s="754"/>
      <c r="Z140" s="754"/>
      <c r="AA140" s="754"/>
    </row>
    <row r="141" spans="2:27" s="755" customFormat="1" x14ac:dyDescent="0.2">
      <c r="B141" s="958" t="s">
        <v>654</v>
      </c>
      <c r="C141" s="3008"/>
      <c r="D141" s="3009"/>
      <c r="E141" s="927"/>
      <c r="F141" s="961"/>
      <c r="G141" s="959">
        <f t="shared" si="42"/>
        <v>0</v>
      </c>
      <c r="H141" s="960">
        <f t="shared" si="43"/>
        <v>0</v>
      </c>
      <c r="I141" s="928">
        <f t="shared" si="41"/>
        <v>0</v>
      </c>
      <c r="J141" s="3081" t="str">
        <f t="shared" si="44"/>
        <v/>
      </c>
      <c r="K141" s="3082"/>
      <c r="L141" s="3083"/>
      <c r="M141" s="3084"/>
      <c r="N141" s="1510"/>
      <c r="O141" s="1510"/>
      <c r="P141" s="929"/>
      <c r="Q141" s="929"/>
      <c r="R141" s="930"/>
      <c r="S141" s="767">
        <f t="shared" si="45"/>
        <v>0</v>
      </c>
      <c r="T141" s="767" t="str">
        <f t="shared" si="46"/>
        <v/>
      </c>
      <c r="U141" s="767">
        <f t="shared" si="47"/>
        <v>0</v>
      </c>
      <c r="V141" s="767">
        <f t="shared" si="48"/>
        <v>0</v>
      </c>
      <c r="W141" s="767">
        <f t="shared" si="49"/>
        <v>0</v>
      </c>
      <c r="X141" s="767">
        <f t="shared" si="50"/>
        <v>0</v>
      </c>
      <c r="Y141" s="754"/>
      <c r="Z141" s="754"/>
      <c r="AA141" s="754"/>
    </row>
    <row r="142" spans="2:27" s="755" customFormat="1" x14ac:dyDescent="0.2">
      <c r="B142" s="958" t="s">
        <v>655</v>
      </c>
      <c r="C142" s="3008"/>
      <c r="D142" s="3009"/>
      <c r="E142" s="927"/>
      <c r="F142" s="961"/>
      <c r="G142" s="959">
        <f t="shared" si="42"/>
        <v>0</v>
      </c>
      <c r="H142" s="960">
        <f t="shared" si="43"/>
        <v>0</v>
      </c>
      <c r="I142" s="928">
        <f t="shared" si="41"/>
        <v>0</v>
      </c>
      <c r="J142" s="3081" t="str">
        <f t="shared" si="44"/>
        <v/>
      </c>
      <c r="K142" s="3082"/>
      <c r="L142" s="3083"/>
      <c r="M142" s="3084"/>
      <c r="N142" s="1510"/>
      <c r="O142" s="1510"/>
      <c r="P142" s="929"/>
      <c r="Q142" s="929"/>
      <c r="R142" s="930"/>
      <c r="S142" s="767">
        <f t="shared" si="45"/>
        <v>0</v>
      </c>
      <c r="T142" s="767" t="str">
        <f t="shared" si="46"/>
        <v/>
      </c>
      <c r="U142" s="767">
        <f t="shared" si="47"/>
        <v>0</v>
      </c>
      <c r="V142" s="767">
        <f t="shared" si="48"/>
        <v>0</v>
      </c>
      <c r="W142" s="767">
        <f t="shared" si="49"/>
        <v>0</v>
      </c>
      <c r="X142" s="767">
        <f t="shared" si="50"/>
        <v>0</v>
      </c>
      <c r="Y142" s="754"/>
      <c r="Z142" s="754"/>
      <c r="AA142" s="754"/>
    </row>
    <row r="143" spans="2:27" s="755" customFormat="1" x14ac:dyDescent="0.2">
      <c r="B143" s="958" t="s">
        <v>656</v>
      </c>
      <c r="C143" s="3008"/>
      <c r="D143" s="3009"/>
      <c r="E143" s="927"/>
      <c r="F143" s="961"/>
      <c r="G143" s="959">
        <f t="shared" si="42"/>
        <v>0</v>
      </c>
      <c r="H143" s="960">
        <f t="shared" si="43"/>
        <v>0</v>
      </c>
      <c r="I143" s="928">
        <f t="shared" si="41"/>
        <v>0</v>
      </c>
      <c r="J143" s="3081" t="str">
        <f t="shared" si="44"/>
        <v/>
      </c>
      <c r="K143" s="3082"/>
      <c r="L143" s="3083"/>
      <c r="M143" s="3084"/>
      <c r="N143" s="1510"/>
      <c r="O143" s="1510"/>
      <c r="P143" s="929"/>
      <c r="Q143" s="929"/>
      <c r="R143" s="930"/>
      <c r="S143" s="767">
        <f t="shared" si="45"/>
        <v>0</v>
      </c>
      <c r="T143" s="767" t="str">
        <f t="shared" si="46"/>
        <v/>
      </c>
      <c r="U143" s="767">
        <f t="shared" si="47"/>
        <v>0</v>
      </c>
      <c r="V143" s="767">
        <f t="shared" si="48"/>
        <v>0</v>
      </c>
      <c r="W143" s="767">
        <f t="shared" si="49"/>
        <v>0</v>
      </c>
      <c r="X143" s="767">
        <f t="shared" si="50"/>
        <v>0</v>
      </c>
      <c r="Y143" s="754"/>
      <c r="Z143" s="754"/>
      <c r="AA143" s="754"/>
    </row>
    <row r="144" spans="2:27" s="755" customFormat="1" x14ac:dyDescent="0.2">
      <c r="B144" s="958" t="s">
        <v>657</v>
      </c>
      <c r="C144" s="3008"/>
      <c r="D144" s="3009"/>
      <c r="E144" s="927"/>
      <c r="F144" s="961"/>
      <c r="G144" s="959">
        <f t="shared" si="42"/>
        <v>0</v>
      </c>
      <c r="H144" s="960">
        <f t="shared" si="43"/>
        <v>0</v>
      </c>
      <c r="I144" s="928">
        <f t="shared" si="41"/>
        <v>0</v>
      </c>
      <c r="J144" s="3081" t="str">
        <f t="shared" si="44"/>
        <v/>
      </c>
      <c r="K144" s="3082"/>
      <c r="L144" s="3083"/>
      <c r="M144" s="3084"/>
      <c r="N144" s="1510"/>
      <c r="O144" s="1510"/>
      <c r="P144" s="929"/>
      <c r="Q144" s="929"/>
      <c r="R144" s="930"/>
      <c r="S144" s="767">
        <f t="shared" si="45"/>
        <v>0</v>
      </c>
      <c r="T144" s="767" t="str">
        <f t="shared" si="46"/>
        <v/>
      </c>
      <c r="U144" s="767">
        <f t="shared" si="47"/>
        <v>0</v>
      </c>
      <c r="V144" s="767">
        <f t="shared" si="48"/>
        <v>0</v>
      </c>
      <c r="W144" s="767">
        <f t="shared" si="49"/>
        <v>0</v>
      </c>
      <c r="X144" s="767">
        <f t="shared" si="50"/>
        <v>0</v>
      </c>
      <c r="Y144" s="754"/>
      <c r="Z144" s="754"/>
      <c r="AA144" s="754"/>
    </row>
    <row r="145" spans="2:27" s="755" customFormat="1" x14ac:dyDescent="0.2">
      <c r="B145" s="958" t="s">
        <v>658</v>
      </c>
      <c r="C145" s="3008"/>
      <c r="D145" s="3009"/>
      <c r="E145" s="927"/>
      <c r="F145" s="961"/>
      <c r="G145" s="959">
        <f t="shared" si="42"/>
        <v>0</v>
      </c>
      <c r="H145" s="960">
        <f t="shared" si="43"/>
        <v>0</v>
      </c>
      <c r="I145" s="928">
        <f t="shared" si="41"/>
        <v>0</v>
      </c>
      <c r="J145" s="3081" t="str">
        <f t="shared" si="44"/>
        <v/>
      </c>
      <c r="K145" s="3082"/>
      <c r="L145" s="3083"/>
      <c r="M145" s="3084"/>
      <c r="N145" s="1510"/>
      <c r="O145" s="1510"/>
      <c r="P145" s="929"/>
      <c r="Q145" s="929"/>
      <c r="R145" s="930"/>
      <c r="S145" s="767">
        <f t="shared" si="45"/>
        <v>0</v>
      </c>
      <c r="T145" s="767" t="str">
        <f t="shared" si="46"/>
        <v/>
      </c>
      <c r="U145" s="767">
        <f t="shared" si="47"/>
        <v>0</v>
      </c>
      <c r="V145" s="767">
        <f t="shared" si="48"/>
        <v>0</v>
      </c>
      <c r="W145" s="767">
        <f t="shared" si="49"/>
        <v>0</v>
      </c>
      <c r="X145" s="767">
        <f t="shared" si="50"/>
        <v>0</v>
      </c>
      <c r="Y145" s="754"/>
      <c r="Z145" s="754"/>
      <c r="AA145" s="754"/>
    </row>
    <row r="146" spans="2:27" s="755" customFormat="1" x14ac:dyDescent="0.2">
      <c r="B146" s="958" t="s">
        <v>659</v>
      </c>
      <c r="C146" s="3008"/>
      <c r="D146" s="3009"/>
      <c r="E146" s="927"/>
      <c r="F146" s="961"/>
      <c r="G146" s="959">
        <f t="shared" si="42"/>
        <v>0</v>
      </c>
      <c r="H146" s="960">
        <f t="shared" si="43"/>
        <v>0</v>
      </c>
      <c r="I146" s="928">
        <f t="shared" si="41"/>
        <v>0</v>
      </c>
      <c r="J146" s="3081" t="str">
        <f t="shared" si="44"/>
        <v/>
      </c>
      <c r="K146" s="3082"/>
      <c r="L146" s="3083"/>
      <c r="M146" s="3084"/>
      <c r="N146" s="1510"/>
      <c r="O146" s="1510"/>
      <c r="P146" s="929"/>
      <c r="Q146" s="929"/>
      <c r="R146" s="930"/>
      <c r="S146" s="767">
        <f t="shared" si="45"/>
        <v>0</v>
      </c>
      <c r="T146" s="767" t="str">
        <f t="shared" si="46"/>
        <v/>
      </c>
      <c r="U146" s="767">
        <f t="shared" si="47"/>
        <v>0</v>
      </c>
      <c r="V146" s="767">
        <f t="shared" si="48"/>
        <v>0</v>
      </c>
      <c r="W146" s="767">
        <f t="shared" si="49"/>
        <v>0</v>
      </c>
      <c r="X146" s="767">
        <f t="shared" si="50"/>
        <v>0</v>
      </c>
      <c r="Y146" s="754"/>
      <c r="Z146" s="754"/>
      <c r="AA146" s="754"/>
    </row>
    <row r="147" spans="2:27" s="755" customFormat="1" x14ac:dyDescent="0.2">
      <c r="B147" s="958" t="s">
        <v>660</v>
      </c>
      <c r="C147" s="3008"/>
      <c r="D147" s="3009"/>
      <c r="E147" s="927"/>
      <c r="F147" s="961"/>
      <c r="G147" s="959">
        <f t="shared" si="42"/>
        <v>0</v>
      </c>
      <c r="H147" s="960">
        <f t="shared" si="43"/>
        <v>0</v>
      </c>
      <c r="I147" s="928">
        <f t="shared" si="41"/>
        <v>0</v>
      </c>
      <c r="J147" s="3081" t="str">
        <f t="shared" si="44"/>
        <v/>
      </c>
      <c r="K147" s="3082"/>
      <c r="L147" s="3083"/>
      <c r="M147" s="3084"/>
      <c r="N147" s="1510"/>
      <c r="O147" s="1510"/>
      <c r="P147" s="929"/>
      <c r="Q147" s="929"/>
      <c r="R147" s="930"/>
      <c r="S147" s="767">
        <f t="shared" si="45"/>
        <v>0</v>
      </c>
      <c r="T147" s="767" t="str">
        <f t="shared" si="46"/>
        <v/>
      </c>
      <c r="U147" s="767">
        <f t="shared" si="47"/>
        <v>0</v>
      </c>
      <c r="V147" s="767">
        <f t="shared" si="48"/>
        <v>0</v>
      </c>
      <c r="W147" s="767">
        <f t="shared" si="49"/>
        <v>0</v>
      </c>
      <c r="X147" s="767">
        <f t="shared" si="50"/>
        <v>0</v>
      </c>
      <c r="Y147" s="754"/>
      <c r="Z147" s="754"/>
      <c r="AA147" s="754"/>
    </row>
    <row r="148" spans="2:27" s="755" customFormat="1" ht="21" customHeight="1" x14ac:dyDescent="0.2">
      <c r="B148" s="931"/>
      <c r="C148" s="932"/>
      <c r="D148" s="932"/>
      <c r="E148" s="932"/>
      <c r="F148" s="932"/>
      <c r="G148" s="962" t="s">
        <v>673</v>
      </c>
      <c r="H148" s="936">
        <f>SUM(H128:H147)</f>
        <v>0</v>
      </c>
      <c r="I148" s="937">
        <f>SUM(I128:I147)</f>
        <v>0</v>
      </c>
      <c r="J148" s="963"/>
      <c r="K148" s="964"/>
      <c r="L148" s="940"/>
      <c r="M148" s="941">
        <f>SUM(V128:V147)</f>
        <v>0</v>
      </c>
      <c r="N148" s="943">
        <f>COUNTIF(S128:S147,"3")</f>
        <v>0</v>
      </c>
      <c r="O148" s="943">
        <f>COUNTIF(S128:S147,"3")</f>
        <v>0</v>
      </c>
      <c r="P148" s="943"/>
      <c r="Q148" s="943"/>
      <c r="R148" s="944"/>
      <c r="S148" s="767"/>
      <c r="T148" s="767"/>
      <c r="U148" s="767"/>
      <c r="V148" s="767"/>
      <c r="W148" s="735">
        <f>SUM(W128:W147)</f>
        <v>0</v>
      </c>
      <c r="X148" s="735">
        <f>SUM(X128:X147)</f>
        <v>0</v>
      </c>
      <c r="Y148" s="754"/>
      <c r="Z148" s="754"/>
      <c r="AA148" s="754"/>
    </row>
    <row r="149" spans="2:27" s="842" customFormat="1" ht="12.75" customHeight="1" x14ac:dyDescent="0.2">
      <c r="B149" s="965"/>
      <c r="C149" s="836"/>
      <c r="D149" s="836"/>
      <c r="E149" s="836"/>
      <c r="F149" s="836"/>
      <c r="G149" s="966"/>
      <c r="H149" s="967"/>
      <c r="I149" s="967"/>
      <c r="J149" s="967"/>
      <c r="K149" s="967"/>
      <c r="L149" s="967"/>
      <c r="M149" s="836"/>
      <c r="N149" s="836"/>
      <c r="O149" s="836"/>
      <c r="P149" s="968"/>
      <c r="Q149" s="968"/>
      <c r="R149" s="969"/>
      <c r="S149" s="767"/>
      <c r="T149" s="767"/>
      <c r="U149" s="767"/>
      <c r="V149" s="767"/>
      <c r="W149" s="840"/>
      <c r="X149" s="840"/>
      <c r="Y149" s="840"/>
      <c r="Z149" s="840"/>
      <c r="AA149" s="840"/>
    </row>
    <row r="150" spans="2:27" s="725" customFormat="1" ht="21" customHeight="1" x14ac:dyDescent="0.2">
      <c r="B150" s="970" t="s">
        <v>674</v>
      </c>
      <c r="C150" s="971"/>
      <c r="D150" s="972"/>
      <c r="E150" s="972"/>
      <c r="F150" s="972"/>
      <c r="G150" s="972"/>
      <c r="H150" s="972"/>
      <c r="I150" s="973"/>
      <c r="J150" s="3042" t="s">
        <v>663</v>
      </c>
      <c r="K150" s="3043"/>
      <c r="L150" s="3043"/>
      <c r="M150" s="3043"/>
      <c r="N150" s="3043"/>
      <c r="O150" s="3043"/>
      <c r="P150" s="3043"/>
      <c r="Q150" s="3043"/>
      <c r="R150" s="3044"/>
      <c r="S150" s="767"/>
      <c r="T150" s="767"/>
      <c r="U150" s="767"/>
      <c r="V150" s="767"/>
      <c r="W150" s="723"/>
      <c r="X150" s="723"/>
      <c r="Y150" s="723"/>
      <c r="Z150" s="723"/>
      <c r="AA150" s="723"/>
    </row>
    <row r="151" spans="2:27" s="755" customFormat="1" x14ac:dyDescent="0.2">
      <c r="B151" s="891"/>
      <c r="C151" s="3030" t="s">
        <v>675</v>
      </c>
      <c r="D151" s="3031"/>
      <c r="E151" s="3032"/>
      <c r="F151" s="892" t="s">
        <v>622</v>
      </c>
      <c r="G151" s="893" t="s">
        <v>623</v>
      </c>
      <c r="H151" s="729" t="s">
        <v>443</v>
      </c>
      <c r="I151" s="730" t="s">
        <v>443</v>
      </c>
      <c r="J151" s="3077" t="s">
        <v>624</v>
      </c>
      <c r="K151" s="3078"/>
      <c r="L151" s="2985" t="s">
        <v>676</v>
      </c>
      <c r="M151" s="2986"/>
      <c r="N151" s="2987"/>
      <c r="O151" s="892" t="s">
        <v>677</v>
      </c>
      <c r="P151" s="3047" t="s">
        <v>627</v>
      </c>
      <c r="Q151" s="3047"/>
      <c r="R151" s="3048"/>
      <c r="S151" s="767"/>
      <c r="T151" s="767"/>
      <c r="U151" s="767"/>
      <c r="V151" s="767"/>
      <c r="W151" s="754"/>
      <c r="X151" s="754"/>
      <c r="Y151" s="754"/>
      <c r="Z151" s="754"/>
      <c r="AA151" s="754"/>
    </row>
    <row r="152" spans="2:27" s="902" customFormat="1" x14ac:dyDescent="0.2">
      <c r="B152" s="894"/>
      <c r="C152" s="947"/>
      <c r="D152" s="974"/>
      <c r="E152" s="898"/>
      <c r="F152" s="898" t="s">
        <v>628</v>
      </c>
      <c r="G152" s="853"/>
      <c r="H152" s="853" t="s">
        <v>445</v>
      </c>
      <c r="I152" s="854" t="s">
        <v>315</v>
      </c>
      <c r="J152" s="3049" t="s">
        <v>629</v>
      </c>
      <c r="K152" s="3050"/>
      <c r="L152" s="3052" t="s">
        <v>630</v>
      </c>
      <c r="M152" s="2990"/>
      <c r="N152" s="3053"/>
      <c r="O152" s="975" t="s">
        <v>1018</v>
      </c>
      <c r="P152" s="727" t="s">
        <v>632</v>
      </c>
      <c r="Q152" s="727" t="s">
        <v>633</v>
      </c>
      <c r="R152" s="899" t="s">
        <v>634</v>
      </c>
      <c r="S152" s="767"/>
      <c r="T152" s="767"/>
      <c r="U152" s="767"/>
      <c r="V152" s="767"/>
      <c r="W152" s="900"/>
      <c r="X152" s="900"/>
      <c r="Y152" s="900"/>
      <c r="Z152" s="900"/>
      <c r="AA152" s="900"/>
    </row>
    <row r="153" spans="2:27" s="747" customFormat="1" x14ac:dyDescent="0.2">
      <c r="B153" s="737"/>
      <c r="C153" s="738"/>
      <c r="D153" s="812"/>
      <c r="E153" s="905"/>
      <c r="F153" s="905" t="s">
        <v>629</v>
      </c>
      <c r="G153" s="739"/>
      <c r="H153" s="906"/>
      <c r="I153" s="859"/>
      <c r="J153" s="907"/>
      <c r="K153" s="908"/>
      <c r="L153" s="909"/>
      <c r="M153" s="2991"/>
      <c r="N153" s="3051"/>
      <c r="O153" s="908"/>
      <c r="P153" s="739"/>
      <c r="Q153" s="739" t="s">
        <v>635</v>
      </c>
      <c r="R153" s="911" t="s">
        <v>636</v>
      </c>
      <c r="S153" s="767"/>
      <c r="T153" s="767"/>
      <c r="U153" s="767"/>
      <c r="V153" s="767"/>
      <c r="W153" s="745"/>
      <c r="X153" s="745"/>
      <c r="Y153" s="745"/>
      <c r="Z153" s="745"/>
      <c r="AA153" s="745"/>
    </row>
    <row r="154" spans="2:27" s="922" customFormat="1" ht="12.75" customHeight="1" x14ac:dyDescent="0.2">
      <c r="B154" s="912" t="s">
        <v>450</v>
      </c>
      <c r="C154" s="3059" t="s">
        <v>637</v>
      </c>
      <c r="D154" s="3060"/>
      <c r="E154" s="3061"/>
      <c r="F154" s="976" t="s">
        <v>173</v>
      </c>
      <c r="G154" s="914">
        <f>IF(F154="",0,IF(F154="ระดับชาติ",30,IF(F154="ระดับนานาชาติ",60,30)))</f>
        <v>60</v>
      </c>
      <c r="H154" s="915">
        <f>IF(C154&lt;&gt;"",G154,0)</f>
        <v>60</v>
      </c>
      <c r="I154" s="916">
        <f t="shared" ref="I154:I174" si="51">H154/15</f>
        <v>4</v>
      </c>
      <c r="J154" s="3079" t="s">
        <v>185</v>
      </c>
      <c r="K154" s="3080"/>
      <c r="L154" s="3054" t="s">
        <v>638</v>
      </c>
      <c r="M154" s="2993"/>
      <c r="N154" s="3055"/>
      <c r="O154" s="1506">
        <v>240817</v>
      </c>
      <c r="P154" s="917"/>
      <c r="Q154" s="917" t="s">
        <v>172</v>
      </c>
      <c r="R154" s="918"/>
      <c r="S154" s="767"/>
      <c r="T154" s="767"/>
      <c r="U154" s="767"/>
      <c r="V154" s="767"/>
      <c r="W154" s="921" t="s">
        <v>678</v>
      </c>
      <c r="X154" s="921"/>
      <c r="Y154" s="920"/>
      <c r="Z154" s="920"/>
      <c r="AA154" s="920"/>
    </row>
    <row r="155" spans="2:27" s="769" customFormat="1" x14ac:dyDescent="0.2">
      <c r="B155" s="923" t="s">
        <v>641</v>
      </c>
      <c r="C155" s="3027"/>
      <c r="D155" s="3028"/>
      <c r="E155" s="3029"/>
      <c r="F155" s="924"/>
      <c r="G155" s="860">
        <f>IF(F155="",0,IF(F155="ระดับชาติ",30,IF(F155="ระดับนานาชาติ",60,30)))</f>
        <v>0</v>
      </c>
      <c r="H155" s="977">
        <f>IF(C155&lt;&gt;"",G155,0)</f>
        <v>0</v>
      </c>
      <c r="I155" s="761">
        <f t="shared" si="51"/>
        <v>0</v>
      </c>
      <c r="J155" s="3073"/>
      <c r="K155" s="3074"/>
      <c r="L155" s="2997"/>
      <c r="M155" s="2979"/>
      <c r="N155" s="2998"/>
      <c r="O155" s="1507"/>
      <c r="P155" s="925"/>
      <c r="Q155" s="925"/>
      <c r="R155" s="926"/>
      <c r="S155" s="767">
        <f>IF(AND(F155&lt;&gt;"",C155&lt;&gt;""),IF(AND(F155="ระดับชาติ",C155&lt;&gt;""),3,IF(AND(F155="ระดับนานาชาติ",C155&lt;&gt;""),5,0)),0)</f>
        <v>0</v>
      </c>
      <c r="T155" s="767" t="str">
        <f>IF(J155&lt;&gt;"",MID(J155,1,3),"")</f>
        <v/>
      </c>
      <c r="U155" s="767">
        <f>IF(S155&lt;&gt;0,IF(T155&lt;&gt;"",IF(OR(T155="0.2",T155="0.4",T155="0.6"),1,IF(T155="0.8",2,IF(T155="1.0",3,0))),0),0)</f>
        <v>0</v>
      </c>
      <c r="V155" s="767">
        <f>IF(O155="",0,IF(U155=1,IF(AND(O155&gt;=$S$21,O155&lt;=$T$21),1,0),IF(U155=2,IF(AND(O155&gt;=$S$21,O155&lt;=$T$21),1,0),IF(U155=3,IF(AND(O155&gt;=$S$21,O155&lt;=$T$21),1,0),0))))</f>
        <v>0</v>
      </c>
      <c r="W155" s="767">
        <f>IF(AND(U155&lt;&gt;0,V155&lt;&gt;0),1,0)</f>
        <v>0</v>
      </c>
      <c r="X155" s="768"/>
      <c r="Y155" s="768"/>
      <c r="Z155" s="768"/>
      <c r="AA155" s="768"/>
    </row>
    <row r="156" spans="2:27" s="769" customFormat="1" x14ac:dyDescent="0.2">
      <c r="B156" s="923" t="s">
        <v>642</v>
      </c>
      <c r="C156" s="3027"/>
      <c r="D156" s="3028"/>
      <c r="E156" s="3029"/>
      <c r="F156" s="924"/>
      <c r="G156" s="860">
        <f t="shared" ref="G156:G174" si="52">IF(F156="",0,IF(F156="ระดับชาติ",30,IF(F156="ระดับนานาชาติ",60,30)))</f>
        <v>0</v>
      </c>
      <c r="H156" s="977">
        <f t="shared" ref="H156:H174" si="53">IF(C156&lt;&gt;"",G156,0)</f>
        <v>0</v>
      </c>
      <c r="I156" s="761">
        <f t="shared" si="51"/>
        <v>0</v>
      </c>
      <c r="J156" s="3073"/>
      <c r="K156" s="3074"/>
      <c r="L156" s="2997"/>
      <c r="M156" s="2979"/>
      <c r="N156" s="2998"/>
      <c r="O156" s="1507"/>
      <c r="P156" s="925"/>
      <c r="Q156" s="925"/>
      <c r="R156" s="926"/>
      <c r="S156" s="767">
        <f t="shared" ref="S156:S174" si="54">IF(AND(F156&lt;&gt;"",C156&lt;&gt;""),IF(AND(F156="ระดับชาติ",C156&lt;&gt;""),3,IF(AND(F156="ระดับนานาชาติ",C156&lt;&gt;""),5,0)),0)</f>
        <v>0</v>
      </c>
      <c r="T156" s="767" t="str">
        <f t="shared" ref="T156:T174" si="55">IF(J156&lt;&gt;"",MID(J156,1,3),"")</f>
        <v/>
      </c>
      <c r="U156" s="767">
        <f t="shared" ref="U156:U174" si="56">IF(S156&lt;&gt;0,IF(T156&lt;&gt;"",IF(OR(T156="0.2",T156="0.4",T156="0.6"),1,IF(T156="0.8",2,IF(T156="1.0",3,0))),0),0)</f>
        <v>0</v>
      </c>
      <c r="V156" s="767">
        <f t="shared" ref="V156:V174" si="57">IF(O156="",0,IF(U156=1,IF(AND(O156&gt;=$S$21,O156&lt;=$T$21),1,0),IF(U156=2,IF(AND(O156&gt;=$S$21,O156&lt;=$T$21),1,0),IF(U156=3,IF(AND(O156&gt;=$S$21,O156&lt;=$T$21),1,0),0))))</f>
        <v>0</v>
      </c>
      <c r="W156" s="767">
        <f t="shared" ref="W156:W174" si="58">IF(AND(U156&lt;&gt;0,V156&lt;&gt;0),1,0)</f>
        <v>0</v>
      </c>
      <c r="X156" s="768"/>
      <c r="Y156" s="768"/>
      <c r="Z156" s="768"/>
      <c r="AA156" s="768"/>
    </row>
    <row r="157" spans="2:27" s="769" customFormat="1" x14ac:dyDescent="0.2">
      <c r="B157" s="923" t="s">
        <v>643</v>
      </c>
      <c r="C157" s="3027"/>
      <c r="D157" s="3028"/>
      <c r="E157" s="3029"/>
      <c r="F157" s="924"/>
      <c r="G157" s="860">
        <f t="shared" si="52"/>
        <v>0</v>
      </c>
      <c r="H157" s="977">
        <f t="shared" si="53"/>
        <v>0</v>
      </c>
      <c r="I157" s="761">
        <f t="shared" si="51"/>
        <v>0</v>
      </c>
      <c r="J157" s="3073"/>
      <c r="K157" s="3074"/>
      <c r="L157" s="2997"/>
      <c r="M157" s="2979"/>
      <c r="N157" s="2998"/>
      <c r="O157" s="1507"/>
      <c r="P157" s="925"/>
      <c r="Q157" s="925"/>
      <c r="R157" s="926"/>
      <c r="S157" s="767">
        <f t="shared" si="54"/>
        <v>0</v>
      </c>
      <c r="T157" s="767" t="str">
        <f t="shared" si="55"/>
        <v/>
      </c>
      <c r="U157" s="767">
        <f t="shared" si="56"/>
        <v>0</v>
      </c>
      <c r="V157" s="767">
        <f t="shared" si="57"/>
        <v>0</v>
      </c>
      <c r="W157" s="767">
        <f t="shared" si="58"/>
        <v>0</v>
      </c>
      <c r="X157" s="768"/>
      <c r="Y157" s="768"/>
      <c r="Z157" s="768"/>
      <c r="AA157" s="768"/>
    </row>
    <row r="158" spans="2:27" s="769" customFormat="1" x14ac:dyDescent="0.2">
      <c r="B158" s="923" t="s">
        <v>644</v>
      </c>
      <c r="C158" s="3027"/>
      <c r="D158" s="3028"/>
      <c r="E158" s="3029"/>
      <c r="F158" s="924"/>
      <c r="G158" s="860">
        <f t="shared" si="52"/>
        <v>0</v>
      </c>
      <c r="H158" s="977">
        <f t="shared" si="53"/>
        <v>0</v>
      </c>
      <c r="I158" s="761">
        <f t="shared" si="51"/>
        <v>0</v>
      </c>
      <c r="J158" s="3073"/>
      <c r="K158" s="3074"/>
      <c r="L158" s="2997"/>
      <c r="M158" s="2979"/>
      <c r="N158" s="2998"/>
      <c r="O158" s="1507"/>
      <c r="P158" s="925"/>
      <c r="Q158" s="925"/>
      <c r="R158" s="926"/>
      <c r="S158" s="767">
        <f t="shared" si="54"/>
        <v>0</v>
      </c>
      <c r="T158" s="767" t="str">
        <f t="shared" si="55"/>
        <v/>
      </c>
      <c r="U158" s="767">
        <f t="shared" si="56"/>
        <v>0</v>
      </c>
      <c r="V158" s="767">
        <f t="shared" si="57"/>
        <v>0</v>
      </c>
      <c r="W158" s="767">
        <f t="shared" si="58"/>
        <v>0</v>
      </c>
      <c r="X158" s="768"/>
      <c r="Y158" s="768"/>
      <c r="Z158" s="768"/>
      <c r="AA158" s="768"/>
    </row>
    <row r="159" spans="2:27" s="769" customFormat="1" x14ac:dyDescent="0.2">
      <c r="B159" s="923" t="s">
        <v>645</v>
      </c>
      <c r="C159" s="3027"/>
      <c r="D159" s="3028"/>
      <c r="E159" s="3029"/>
      <c r="F159" s="924"/>
      <c r="G159" s="860">
        <f t="shared" si="52"/>
        <v>0</v>
      </c>
      <c r="H159" s="977">
        <f t="shared" si="53"/>
        <v>0</v>
      </c>
      <c r="I159" s="761">
        <f t="shared" si="51"/>
        <v>0</v>
      </c>
      <c r="J159" s="3073"/>
      <c r="K159" s="3074"/>
      <c r="L159" s="2997"/>
      <c r="M159" s="2979"/>
      <c r="N159" s="2998"/>
      <c r="O159" s="1507"/>
      <c r="P159" s="925"/>
      <c r="Q159" s="925"/>
      <c r="R159" s="926"/>
      <c r="S159" s="767">
        <f t="shared" si="54"/>
        <v>0</v>
      </c>
      <c r="T159" s="767" t="str">
        <f t="shared" si="55"/>
        <v/>
      </c>
      <c r="U159" s="767">
        <f t="shared" si="56"/>
        <v>0</v>
      </c>
      <c r="V159" s="767">
        <f t="shared" si="57"/>
        <v>0</v>
      </c>
      <c r="W159" s="767">
        <f t="shared" si="58"/>
        <v>0</v>
      </c>
      <c r="X159" s="768"/>
      <c r="Y159" s="768"/>
      <c r="Z159" s="768"/>
      <c r="AA159" s="768"/>
    </row>
    <row r="160" spans="2:27" s="769" customFormat="1" x14ac:dyDescent="0.2">
      <c r="B160" s="923" t="s">
        <v>646</v>
      </c>
      <c r="C160" s="3027"/>
      <c r="D160" s="3028"/>
      <c r="E160" s="3029"/>
      <c r="F160" s="924"/>
      <c r="G160" s="860">
        <f t="shared" si="52"/>
        <v>0</v>
      </c>
      <c r="H160" s="977">
        <f t="shared" si="53"/>
        <v>0</v>
      </c>
      <c r="I160" s="761">
        <f t="shared" si="51"/>
        <v>0</v>
      </c>
      <c r="J160" s="3073"/>
      <c r="K160" s="3074"/>
      <c r="L160" s="2997"/>
      <c r="M160" s="2979"/>
      <c r="N160" s="2998"/>
      <c r="O160" s="1507"/>
      <c r="P160" s="925"/>
      <c r="Q160" s="925"/>
      <c r="R160" s="926"/>
      <c r="S160" s="767">
        <f t="shared" si="54"/>
        <v>0</v>
      </c>
      <c r="T160" s="767" t="str">
        <f t="shared" si="55"/>
        <v/>
      </c>
      <c r="U160" s="767">
        <f t="shared" si="56"/>
        <v>0</v>
      </c>
      <c r="V160" s="767">
        <f t="shared" si="57"/>
        <v>0</v>
      </c>
      <c r="W160" s="767">
        <f t="shared" si="58"/>
        <v>0</v>
      </c>
      <c r="X160" s="768"/>
      <c r="Y160" s="768"/>
      <c r="Z160" s="768"/>
      <c r="AA160" s="768"/>
    </row>
    <row r="161" spans="2:27" s="769" customFormat="1" x14ac:dyDescent="0.2">
      <c r="B161" s="923" t="s">
        <v>647</v>
      </c>
      <c r="C161" s="3027"/>
      <c r="D161" s="3028"/>
      <c r="E161" s="3029"/>
      <c r="F161" s="924"/>
      <c r="G161" s="860">
        <f t="shared" si="52"/>
        <v>0</v>
      </c>
      <c r="H161" s="977">
        <f t="shared" si="53"/>
        <v>0</v>
      </c>
      <c r="I161" s="761">
        <f t="shared" si="51"/>
        <v>0</v>
      </c>
      <c r="J161" s="3073"/>
      <c r="K161" s="3074"/>
      <c r="L161" s="2997"/>
      <c r="M161" s="2979"/>
      <c r="N161" s="2998"/>
      <c r="O161" s="1507"/>
      <c r="P161" s="925"/>
      <c r="Q161" s="925"/>
      <c r="R161" s="926"/>
      <c r="S161" s="767">
        <f t="shared" si="54"/>
        <v>0</v>
      </c>
      <c r="T161" s="767" t="str">
        <f t="shared" si="55"/>
        <v/>
      </c>
      <c r="U161" s="767">
        <f t="shared" si="56"/>
        <v>0</v>
      </c>
      <c r="V161" s="767">
        <f t="shared" si="57"/>
        <v>0</v>
      </c>
      <c r="W161" s="767">
        <f t="shared" si="58"/>
        <v>0</v>
      </c>
      <c r="X161" s="768"/>
      <c r="Y161" s="768"/>
      <c r="Z161" s="768"/>
      <c r="AA161" s="768"/>
    </row>
    <row r="162" spans="2:27" s="769" customFormat="1" x14ac:dyDescent="0.2">
      <c r="B162" s="923" t="s">
        <v>648</v>
      </c>
      <c r="C162" s="3027"/>
      <c r="D162" s="3028"/>
      <c r="E162" s="3029"/>
      <c r="F162" s="924"/>
      <c r="G162" s="860">
        <f t="shared" si="52"/>
        <v>0</v>
      </c>
      <c r="H162" s="977">
        <f t="shared" si="53"/>
        <v>0</v>
      </c>
      <c r="I162" s="761">
        <f t="shared" si="51"/>
        <v>0</v>
      </c>
      <c r="J162" s="3073"/>
      <c r="K162" s="3074"/>
      <c r="L162" s="2997"/>
      <c r="M162" s="2979"/>
      <c r="N162" s="2998"/>
      <c r="O162" s="1507"/>
      <c r="P162" s="925"/>
      <c r="Q162" s="925"/>
      <c r="R162" s="926"/>
      <c r="S162" s="767">
        <f t="shared" si="54"/>
        <v>0</v>
      </c>
      <c r="T162" s="767" t="str">
        <f t="shared" si="55"/>
        <v/>
      </c>
      <c r="U162" s="767">
        <f t="shared" si="56"/>
        <v>0</v>
      </c>
      <c r="V162" s="767">
        <f t="shared" si="57"/>
        <v>0</v>
      </c>
      <c r="W162" s="767">
        <f t="shared" si="58"/>
        <v>0</v>
      </c>
      <c r="X162" s="768"/>
      <c r="Y162" s="768"/>
      <c r="Z162" s="768"/>
      <c r="AA162" s="768"/>
    </row>
    <row r="163" spans="2:27" s="769" customFormat="1" x14ac:dyDescent="0.2">
      <c r="B163" s="923" t="s">
        <v>649</v>
      </c>
      <c r="C163" s="3027"/>
      <c r="D163" s="3028"/>
      <c r="E163" s="3029"/>
      <c r="F163" s="924"/>
      <c r="G163" s="860">
        <f t="shared" si="52"/>
        <v>0</v>
      </c>
      <c r="H163" s="977">
        <f t="shared" si="53"/>
        <v>0</v>
      </c>
      <c r="I163" s="761">
        <f t="shared" si="51"/>
        <v>0</v>
      </c>
      <c r="J163" s="3073"/>
      <c r="K163" s="3074"/>
      <c r="L163" s="2997"/>
      <c r="M163" s="2979"/>
      <c r="N163" s="2998"/>
      <c r="O163" s="1507"/>
      <c r="P163" s="925"/>
      <c r="Q163" s="925"/>
      <c r="R163" s="926"/>
      <c r="S163" s="767">
        <f t="shared" si="54"/>
        <v>0</v>
      </c>
      <c r="T163" s="767" t="str">
        <f t="shared" si="55"/>
        <v/>
      </c>
      <c r="U163" s="767">
        <f t="shared" si="56"/>
        <v>0</v>
      </c>
      <c r="V163" s="767">
        <f t="shared" si="57"/>
        <v>0</v>
      </c>
      <c r="W163" s="767">
        <f t="shared" si="58"/>
        <v>0</v>
      </c>
      <c r="X163" s="768"/>
      <c r="Y163" s="768"/>
      <c r="Z163" s="768"/>
      <c r="AA163" s="768"/>
    </row>
    <row r="164" spans="2:27" s="769" customFormat="1" x14ac:dyDescent="0.2">
      <c r="B164" s="923" t="s">
        <v>650</v>
      </c>
      <c r="C164" s="3027"/>
      <c r="D164" s="3028"/>
      <c r="E164" s="3029"/>
      <c r="F164" s="924"/>
      <c r="G164" s="860">
        <f t="shared" si="52"/>
        <v>0</v>
      </c>
      <c r="H164" s="977">
        <f t="shared" si="53"/>
        <v>0</v>
      </c>
      <c r="I164" s="761">
        <f t="shared" si="51"/>
        <v>0</v>
      </c>
      <c r="J164" s="3073"/>
      <c r="K164" s="3074"/>
      <c r="L164" s="2997"/>
      <c r="M164" s="2979"/>
      <c r="N164" s="2998"/>
      <c r="O164" s="1507"/>
      <c r="P164" s="925"/>
      <c r="Q164" s="925"/>
      <c r="R164" s="926"/>
      <c r="S164" s="767">
        <f t="shared" si="54"/>
        <v>0</v>
      </c>
      <c r="T164" s="767" t="str">
        <f t="shared" si="55"/>
        <v/>
      </c>
      <c r="U164" s="767">
        <f t="shared" si="56"/>
        <v>0</v>
      </c>
      <c r="V164" s="767">
        <f t="shared" si="57"/>
        <v>0</v>
      </c>
      <c r="W164" s="767">
        <f t="shared" si="58"/>
        <v>0</v>
      </c>
      <c r="X164" s="768"/>
      <c r="Y164" s="768"/>
      <c r="Z164" s="768"/>
      <c r="AA164" s="768"/>
    </row>
    <row r="165" spans="2:27" s="755" customFormat="1" x14ac:dyDescent="0.2">
      <c r="B165" s="923" t="s">
        <v>651</v>
      </c>
      <c r="C165" s="3008"/>
      <c r="D165" s="3056"/>
      <c r="E165" s="3009"/>
      <c r="F165" s="927"/>
      <c r="G165" s="860">
        <f t="shared" si="52"/>
        <v>0</v>
      </c>
      <c r="H165" s="977">
        <f t="shared" si="53"/>
        <v>0</v>
      </c>
      <c r="I165" s="928">
        <f t="shared" si="51"/>
        <v>0</v>
      </c>
      <c r="J165" s="3062"/>
      <c r="K165" s="3063"/>
      <c r="L165" s="2997"/>
      <c r="M165" s="2979"/>
      <c r="N165" s="2998"/>
      <c r="O165" s="1508"/>
      <c r="P165" s="929"/>
      <c r="Q165" s="929"/>
      <c r="R165" s="930"/>
      <c r="S165" s="767">
        <f t="shared" si="54"/>
        <v>0</v>
      </c>
      <c r="T165" s="767" t="str">
        <f t="shared" si="55"/>
        <v/>
      </c>
      <c r="U165" s="767">
        <f t="shared" si="56"/>
        <v>0</v>
      </c>
      <c r="V165" s="767">
        <f t="shared" si="57"/>
        <v>0</v>
      </c>
      <c r="W165" s="767">
        <f t="shared" si="58"/>
        <v>0</v>
      </c>
      <c r="X165" s="754"/>
      <c r="Y165" s="754"/>
      <c r="Z165" s="754"/>
      <c r="AA165" s="754"/>
    </row>
    <row r="166" spans="2:27" s="755" customFormat="1" x14ac:dyDescent="0.2">
      <c r="B166" s="923" t="s">
        <v>652</v>
      </c>
      <c r="C166" s="3008"/>
      <c r="D166" s="3056"/>
      <c r="E166" s="3009"/>
      <c r="F166" s="927"/>
      <c r="G166" s="860">
        <f t="shared" si="52"/>
        <v>0</v>
      </c>
      <c r="H166" s="977">
        <f t="shared" si="53"/>
        <v>0</v>
      </c>
      <c r="I166" s="928">
        <f t="shared" si="51"/>
        <v>0</v>
      </c>
      <c r="J166" s="3062"/>
      <c r="K166" s="3063"/>
      <c r="L166" s="2997"/>
      <c r="M166" s="2979"/>
      <c r="N166" s="2998"/>
      <c r="O166" s="1508"/>
      <c r="P166" s="929"/>
      <c r="Q166" s="929"/>
      <c r="R166" s="930"/>
      <c r="S166" s="767">
        <f t="shared" si="54"/>
        <v>0</v>
      </c>
      <c r="T166" s="767" t="str">
        <f t="shared" si="55"/>
        <v/>
      </c>
      <c r="U166" s="767">
        <f t="shared" si="56"/>
        <v>0</v>
      </c>
      <c r="V166" s="767">
        <f t="shared" si="57"/>
        <v>0</v>
      </c>
      <c r="W166" s="767">
        <f t="shared" si="58"/>
        <v>0</v>
      </c>
      <c r="X166" s="754"/>
      <c r="Y166" s="754"/>
      <c r="Z166" s="754"/>
      <c r="AA166" s="754"/>
    </row>
    <row r="167" spans="2:27" s="755" customFormat="1" x14ac:dyDescent="0.2">
      <c r="B167" s="923" t="s">
        <v>653</v>
      </c>
      <c r="C167" s="3008"/>
      <c r="D167" s="3056"/>
      <c r="E167" s="3009"/>
      <c r="F167" s="927"/>
      <c r="G167" s="860">
        <f t="shared" si="52"/>
        <v>0</v>
      </c>
      <c r="H167" s="977">
        <f t="shared" si="53"/>
        <v>0</v>
      </c>
      <c r="I167" s="928">
        <f t="shared" si="51"/>
        <v>0</v>
      </c>
      <c r="J167" s="3062"/>
      <c r="K167" s="3063"/>
      <c r="L167" s="2997"/>
      <c r="M167" s="2979"/>
      <c r="N167" s="2998"/>
      <c r="O167" s="1508"/>
      <c r="P167" s="929"/>
      <c r="Q167" s="929"/>
      <c r="R167" s="930"/>
      <c r="S167" s="767">
        <f t="shared" si="54"/>
        <v>0</v>
      </c>
      <c r="T167" s="767" t="str">
        <f t="shared" si="55"/>
        <v/>
      </c>
      <c r="U167" s="767">
        <f t="shared" si="56"/>
        <v>0</v>
      </c>
      <c r="V167" s="767">
        <f t="shared" si="57"/>
        <v>0</v>
      </c>
      <c r="W167" s="767">
        <f t="shared" si="58"/>
        <v>0</v>
      </c>
      <c r="X167" s="754"/>
      <c r="Y167" s="754"/>
      <c r="Z167" s="754"/>
      <c r="AA167" s="754"/>
    </row>
    <row r="168" spans="2:27" s="755" customFormat="1" x14ac:dyDescent="0.2">
      <c r="B168" s="923" t="s">
        <v>654</v>
      </c>
      <c r="C168" s="3008"/>
      <c r="D168" s="3056"/>
      <c r="E168" s="3009"/>
      <c r="F168" s="927"/>
      <c r="G168" s="860">
        <f t="shared" si="52"/>
        <v>0</v>
      </c>
      <c r="H168" s="977">
        <f t="shared" si="53"/>
        <v>0</v>
      </c>
      <c r="I168" s="928">
        <f t="shared" si="51"/>
        <v>0</v>
      </c>
      <c r="J168" s="3062"/>
      <c r="K168" s="3063"/>
      <c r="L168" s="2997"/>
      <c r="M168" s="2979"/>
      <c r="N168" s="2998"/>
      <c r="O168" s="1508"/>
      <c r="P168" s="929"/>
      <c r="Q168" s="929"/>
      <c r="R168" s="930"/>
      <c r="S168" s="767">
        <f t="shared" si="54"/>
        <v>0</v>
      </c>
      <c r="T168" s="767" t="str">
        <f t="shared" si="55"/>
        <v/>
      </c>
      <c r="U168" s="767">
        <f t="shared" si="56"/>
        <v>0</v>
      </c>
      <c r="V168" s="767">
        <f t="shared" si="57"/>
        <v>0</v>
      </c>
      <c r="W168" s="767">
        <f t="shared" si="58"/>
        <v>0</v>
      </c>
      <c r="X168" s="754"/>
      <c r="Y168" s="754"/>
      <c r="Z168" s="754"/>
      <c r="AA168" s="754"/>
    </row>
    <row r="169" spans="2:27" s="755" customFormat="1" x14ac:dyDescent="0.2">
      <c r="B169" s="923" t="s">
        <v>655</v>
      </c>
      <c r="C169" s="3008"/>
      <c r="D169" s="3056"/>
      <c r="E169" s="3009"/>
      <c r="F169" s="927"/>
      <c r="G169" s="860">
        <f t="shared" si="52"/>
        <v>0</v>
      </c>
      <c r="H169" s="977">
        <f t="shared" si="53"/>
        <v>0</v>
      </c>
      <c r="I169" s="928">
        <f t="shared" si="51"/>
        <v>0</v>
      </c>
      <c r="J169" s="3062"/>
      <c r="K169" s="3063"/>
      <c r="L169" s="2997"/>
      <c r="M169" s="2979"/>
      <c r="N169" s="2998"/>
      <c r="O169" s="1508"/>
      <c r="P169" s="929"/>
      <c r="Q169" s="929"/>
      <c r="R169" s="930"/>
      <c r="S169" s="767">
        <f t="shared" si="54"/>
        <v>0</v>
      </c>
      <c r="T169" s="767" t="str">
        <f t="shared" si="55"/>
        <v/>
      </c>
      <c r="U169" s="767">
        <f t="shared" si="56"/>
        <v>0</v>
      </c>
      <c r="V169" s="767">
        <f t="shared" si="57"/>
        <v>0</v>
      </c>
      <c r="W169" s="767">
        <f t="shared" si="58"/>
        <v>0</v>
      </c>
      <c r="X169" s="754"/>
      <c r="Y169" s="754"/>
      <c r="Z169" s="754"/>
      <c r="AA169" s="754"/>
    </row>
    <row r="170" spans="2:27" s="755" customFormat="1" x14ac:dyDescent="0.2">
      <c r="B170" s="923" t="s">
        <v>656</v>
      </c>
      <c r="C170" s="3008"/>
      <c r="D170" s="3056"/>
      <c r="E170" s="3009"/>
      <c r="F170" s="927"/>
      <c r="G170" s="860">
        <f t="shared" si="52"/>
        <v>0</v>
      </c>
      <c r="H170" s="977">
        <f t="shared" si="53"/>
        <v>0</v>
      </c>
      <c r="I170" s="928">
        <f t="shared" si="51"/>
        <v>0</v>
      </c>
      <c r="J170" s="3062"/>
      <c r="K170" s="3063"/>
      <c r="L170" s="2997"/>
      <c r="M170" s="2979"/>
      <c r="N170" s="2998"/>
      <c r="O170" s="1508"/>
      <c r="P170" s="929"/>
      <c r="Q170" s="929"/>
      <c r="R170" s="930"/>
      <c r="S170" s="767">
        <f t="shared" si="54"/>
        <v>0</v>
      </c>
      <c r="T170" s="767" t="str">
        <f t="shared" si="55"/>
        <v/>
      </c>
      <c r="U170" s="767">
        <f t="shared" si="56"/>
        <v>0</v>
      </c>
      <c r="V170" s="767">
        <f t="shared" si="57"/>
        <v>0</v>
      </c>
      <c r="W170" s="767">
        <f t="shared" si="58"/>
        <v>0</v>
      </c>
      <c r="X170" s="754"/>
      <c r="Y170" s="754"/>
      <c r="Z170" s="754"/>
      <c r="AA170" s="754"/>
    </row>
    <row r="171" spans="2:27" s="755" customFormat="1" x14ac:dyDescent="0.2">
      <c r="B171" s="923" t="s">
        <v>657</v>
      </c>
      <c r="C171" s="3008"/>
      <c r="D171" s="3056"/>
      <c r="E171" s="3009"/>
      <c r="F171" s="927"/>
      <c r="G171" s="860">
        <f t="shared" si="52"/>
        <v>0</v>
      </c>
      <c r="H171" s="977">
        <f t="shared" si="53"/>
        <v>0</v>
      </c>
      <c r="I171" s="928">
        <f t="shared" si="51"/>
        <v>0</v>
      </c>
      <c r="J171" s="3062"/>
      <c r="K171" s="3063"/>
      <c r="L171" s="2997"/>
      <c r="M171" s="2979"/>
      <c r="N171" s="2998"/>
      <c r="O171" s="1508"/>
      <c r="P171" s="929"/>
      <c r="Q171" s="929"/>
      <c r="R171" s="930"/>
      <c r="S171" s="767">
        <f t="shared" si="54"/>
        <v>0</v>
      </c>
      <c r="T171" s="767" t="str">
        <f t="shared" si="55"/>
        <v/>
      </c>
      <c r="U171" s="767">
        <f t="shared" si="56"/>
        <v>0</v>
      </c>
      <c r="V171" s="767">
        <f t="shared" si="57"/>
        <v>0</v>
      </c>
      <c r="W171" s="767">
        <f t="shared" si="58"/>
        <v>0</v>
      </c>
      <c r="X171" s="754"/>
      <c r="Y171" s="754"/>
      <c r="Z171" s="754"/>
      <c r="AA171" s="754"/>
    </row>
    <row r="172" spans="2:27" s="755" customFormat="1" x14ac:dyDescent="0.2">
      <c r="B172" s="923" t="s">
        <v>658</v>
      </c>
      <c r="C172" s="3008"/>
      <c r="D172" s="3056"/>
      <c r="E172" s="3009"/>
      <c r="F172" s="927"/>
      <c r="G172" s="860">
        <f t="shared" si="52"/>
        <v>0</v>
      </c>
      <c r="H172" s="977">
        <f t="shared" si="53"/>
        <v>0</v>
      </c>
      <c r="I172" s="928">
        <f t="shared" si="51"/>
        <v>0</v>
      </c>
      <c r="J172" s="3062"/>
      <c r="K172" s="3063"/>
      <c r="L172" s="2997"/>
      <c r="M172" s="2979"/>
      <c r="N172" s="2998"/>
      <c r="O172" s="1508"/>
      <c r="P172" s="929"/>
      <c r="Q172" s="929"/>
      <c r="R172" s="930"/>
      <c r="S172" s="767">
        <f t="shared" si="54"/>
        <v>0</v>
      </c>
      <c r="T172" s="767" t="str">
        <f t="shared" si="55"/>
        <v/>
      </c>
      <c r="U172" s="767">
        <f t="shared" si="56"/>
        <v>0</v>
      </c>
      <c r="V172" s="767">
        <f t="shared" si="57"/>
        <v>0</v>
      </c>
      <c r="W172" s="767">
        <f t="shared" si="58"/>
        <v>0</v>
      </c>
      <c r="X172" s="754"/>
      <c r="Y172" s="754"/>
      <c r="Z172" s="754"/>
      <c r="AA172" s="754"/>
    </row>
    <row r="173" spans="2:27" s="755" customFormat="1" x14ac:dyDescent="0.2">
      <c r="B173" s="923" t="s">
        <v>659</v>
      </c>
      <c r="C173" s="3008"/>
      <c r="D173" s="3056"/>
      <c r="E173" s="3009"/>
      <c r="F173" s="927"/>
      <c r="G173" s="860">
        <f t="shared" si="52"/>
        <v>0</v>
      </c>
      <c r="H173" s="977">
        <f t="shared" si="53"/>
        <v>0</v>
      </c>
      <c r="I173" s="928">
        <f t="shared" si="51"/>
        <v>0</v>
      </c>
      <c r="J173" s="3062"/>
      <c r="K173" s="3063"/>
      <c r="L173" s="2997"/>
      <c r="M173" s="2979"/>
      <c r="N173" s="2998"/>
      <c r="O173" s="1508"/>
      <c r="P173" s="929"/>
      <c r="Q173" s="929"/>
      <c r="R173" s="930"/>
      <c r="S173" s="767">
        <f t="shared" si="54"/>
        <v>0</v>
      </c>
      <c r="T173" s="767" t="str">
        <f t="shared" si="55"/>
        <v/>
      </c>
      <c r="U173" s="767">
        <f t="shared" si="56"/>
        <v>0</v>
      </c>
      <c r="V173" s="767">
        <f t="shared" si="57"/>
        <v>0</v>
      </c>
      <c r="W173" s="767">
        <f t="shared" si="58"/>
        <v>0</v>
      </c>
      <c r="X173" s="754"/>
      <c r="Y173" s="754"/>
      <c r="Z173" s="754"/>
      <c r="AA173" s="754"/>
    </row>
    <row r="174" spans="2:27" s="755" customFormat="1" x14ac:dyDescent="0.2">
      <c r="B174" s="923" t="s">
        <v>660</v>
      </c>
      <c r="C174" s="3008"/>
      <c r="D174" s="3056"/>
      <c r="E174" s="3009"/>
      <c r="F174" s="927"/>
      <c r="G174" s="860">
        <f t="shared" si="52"/>
        <v>0</v>
      </c>
      <c r="H174" s="977">
        <f t="shared" si="53"/>
        <v>0</v>
      </c>
      <c r="I174" s="928">
        <f t="shared" si="51"/>
        <v>0</v>
      </c>
      <c r="J174" s="3062"/>
      <c r="K174" s="3063"/>
      <c r="L174" s="2997"/>
      <c r="M174" s="2979"/>
      <c r="N174" s="2998"/>
      <c r="O174" s="1508"/>
      <c r="P174" s="929"/>
      <c r="Q174" s="929"/>
      <c r="R174" s="930"/>
      <c r="S174" s="767">
        <f t="shared" si="54"/>
        <v>0</v>
      </c>
      <c r="T174" s="767" t="str">
        <f t="shared" si="55"/>
        <v/>
      </c>
      <c r="U174" s="767">
        <f t="shared" si="56"/>
        <v>0</v>
      </c>
      <c r="V174" s="767">
        <f t="shared" si="57"/>
        <v>0</v>
      </c>
      <c r="W174" s="767">
        <f t="shared" si="58"/>
        <v>0</v>
      </c>
      <c r="X174" s="754"/>
      <c r="Y174" s="754"/>
      <c r="Z174" s="754"/>
      <c r="AA174" s="754"/>
    </row>
    <row r="175" spans="2:27" s="755" customFormat="1" ht="21" customHeight="1" x14ac:dyDescent="0.2">
      <c r="B175" s="931"/>
      <c r="C175" s="932"/>
      <c r="D175" s="932"/>
      <c r="E175" s="933"/>
      <c r="F175" s="934"/>
      <c r="G175" s="935" t="s">
        <v>679</v>
      </c>
      <c r="H175" s="936">
        <f>SUM(H155:H174)</f>
        <v>0</v>
      </c>
      <c r="I175" s="937">
        <f>SUM(I155:I174)</f>
        <v>0</v>
      </c>
      <c r="J175" s="963"/>
      <c r="K175" s="964"/>
      <c r="L175" s="940"/>
      <c r="M175" s="1184">
        <f>SUM(V155:V174)</f>
        <v>0</v>
      </c>
      <c r="N175" s="978"/>
      <c r="O175" s="941">
        <f>COUNTIF(S155:S174,"3")</f>
        <v>0</v>
      </c>
      <c r="P175" s="943"/>
      <c r="Q175" s="943"/>
      <c r="R175" s="944"/>
      <c r="S175" s="767"/>
      <c r="T175" s="767"/>
      <c r="U175" s="767"/>
      <c r="V175" s="767"/>
      <c r="W175" s="735">
        <f>SUM(W155:W174)</f>
        <v>0</v>
      </c>
      <c r="X175" s="754"/>
      <c r="Y175" s="754"/>
      <c r="Z175" s="754"/>
      <c r="AA175" s="754"/>
    </row>
    <row r="176" spans="2:27" s="842" customFormat="1" ht="12.75" customHeight="1" x14ac:dyDescent="0.2">
      <c r="B176" s="965"/>
      <c r="C176" s="836"/>
      <c r="D176" s="836"/>
      <c r="E176" s="836"/>
      <c r="F176" s="836"/>
      <c r="G176" s="986"/>
      <c r="H176" s="967"/>
      <c r="I176" s="967"/>
      <c r="J176" s="967"/>
      <c r="K176" s="967"/>
      <c r="L176" s="967"/>
      <c r="M176" s="836"/>
      <c r="N176" s="836"/>
      <c r="O176" s="836"/>
      <c r="P176" s="836"/>
      <c r="Q176" s="836"/>
      <c r="R176" s="946"/>
      <c r="S176" s="767"/>
      <c r="T176" s="767"/>
      <c r="U176" s="767"/>
      <c r="V176" s="767"/>
      <c r="W176" s="840"/>
      <c r="X176" s="840"/>
      <c r="Y176" s="840"/>
      <c r="Z176" s="840"/>
      <c r="AA176" s="840"/>
    </row>
    <row r="177" spans="2:27" s="725" customFormat="1" ht="21" customHeight="1" x14ac:dyDescent="0.2">
      <c r="B177" s="970" t="s">
        <v>680</v>
      </c>
      <c r="C177" s="971"/>
      <c r="D177" s="982"/>
      <c r="E177" s="983"/>
      <c r="F177" s="983"/>
      <c r="G177" s="983"/>
      <c r="H177" s="984"/>
      <c r="I177" s="985"/>
      <c r="J177" s="3042" t="s">
        <v>663</v>
      </c>
      <c r="K177" s="3043"/>
      <c r="L177" s="3043"/>
      <c r="M177" s="3043"/>
      <c r="N177" s="3043"/>
      <c r="O177" s="3043"/>
      <c r="P177" s="3043"/>
      <c r="Q177" s="3043"/>
      <c r="R177" s="3044"/>
      <c r="S177" s="767"/>
      <c r="T177" s="767"/>
      <c r="U177" s="767"/>
      <c r="V177" s="767"/>
      <c r="W177" s="723"/>
      <c r="X177" s="723"/>
      <c r="Y177" s="723"/>
      <c r="Z177" s="723"/>
      <c r="AA177" s="723"/>
    </row>
    <row r="178" spans="2:27" s="755" customFormat="1" x14ac:dyDescent="0.2">
      <c r="B178" s="891"/>
      <c r="C178" s="3064" t="s">
        <v>675</v>
      </c>
      <c r="D178" s="3065"/>
      <c r="E178" s="3066"/>
      <c r="F178" s="892" t="s">
        <v>622</v>
      </c>
      <c r="G178" s="893" t="s">
        <v>623</v>
      </c>
      <c r="H178" s="729" t="s">
        <v>443</v>
      </c>
      <c r="I178" s="730" t="s">
        <v>443</v>
      </c>
      <c r="J178" s="3077" t="s">
        <v>624</v>
      </c>
      <c r="K178" s="3078"/>
      <c r="L178" s="2985" t="s">
        <v>676</v>
      </c>
      <c r="M178" s="2986"/>
      <c r="N178" s="2987"/>
      <c r="O178" s="892" t="s">
        <v>677</v>
      </c>
      <c r="P178" s="3047" t="s">
        <v>627</v>
      </c>
      <c r="Q178" s="3047"/>
      <c r="R178" s="3048"/>
      <c r="S178" s="767"/>
      <c r="T178" s="767"/>
      <c r="U178" s="767"/>
      <c r="V178" s="767"/>
      <c r="W178" s="754"/>
      <c r="X178" s="754"/>
      <c r="Y178" s="754"/>
      <c r="Z178" s="754"/>
      <c r="AA178" s="754"/>
    </row>
    <row r="179" spans="2:27" s="902" customFormat="1" x14ac:dyDescent="0.2">
      <c r="B179" s="894"/>
      <c r="C179" s="3067"/>
      <c r="D179" s="3068"/>
      <c r="E179" s="3069"/>
      <c r="F179" s="898" t="s">
        <v>628</v>
      </c>
      <c r="G179" s="853"/>
      <c r="H179" s="853" t="s">
        <v>445</v>
      </c>
      <c r="I179" s="854" t="s">
        <v>315</v>
      </c>
      <c r="J179" s="3049" t="s">
        <v>629</v>
      </c>
      <c r="K179" s="3050"/>
      <c r="L179" s="3052" t="s">
        <v>630</v>
      </c>
      <c r="M179" s="2990"/>
      <c r="N179" s="3053"/>
      <c r="O179" s="975" t="s">
        <v>1018</v>
      </c>
      <c r="P179" s="727" t="s">
        <v>632</v>
      </c>
      <c r="Q179" s="727" t="s">
        <v>633</v>
      </c>
      <c r="R179" s="899" t="s">
        <v>634</v>
      </c>
      <c r="S179" s="767"/>
      <c r="T179" s="767"/>
      <c r="U179" s="767"/>
      <c r="V179" s="767"/>
      <c r="W179" s="900"/>
      <c r="X179" s="900"/>
      <c r="Y179" s="900"/>
      <c r="Z179" s="900"/>
      <c r="AA179" s="900"/>
    </row>
    <row r="180" spans="2:27" s="747" customFormat="1" x14ac:dyDescent="0.2">
      <c r="B180" s="737"/>
      <c r="C180" s="3070"/>
      <c r="D180" s="3071"/>
      <c r="E180" s="3072"/>
      <c r="F180" s="905" t="s">
        <v>629</v>
      </c>
      <c r="G180" s="739"/>
      <c r="H180" s="906"/>
      <c r="I180" s="859"/>
      <c r="J180" s="907"/>
      <c r="K180" s="908"/>
      <c r="L180" s="909"/>
      <c r="M180" s="2991"/>
      <c r="N180" s="3051"/>
      <c r="O180" s="908"/>
      <c r="P180" s="739"/>
      <c r="Q180" s="739" t="s">
        <v>635</v>
      </c>
      <c r="R180" s="911" t="s">
        <v>636</v>
      </c>
      <c r="S180" s="767"/>
      <c r="T180" s="767"/>
      <c r="U180" s="767"/>
      <c r="V180" s="767"/>
      <c r="W180" s="745"/>
      <c r="X180" s="745"/>
      <c r="Y180" s="745"/>
      <c r="Z180" s="745"/>
      <c r="AA180" s="745"/>
    </row>
    <row r="181" spans="2:27" s="922" customFormat="1" ht="12.75" customHeight="1" x14ac:dyDescent="0.2">
      <c r="B181" s="912" t="s">
        <v>450</v>
      </c>
      <c r="C181" s="3059" t="s">
        <v>637</v>
      </c>
      <c r="D181" s="3060"/>
      <c r="E181" s="3061"/>
      <c r="F181" s="976" t="s">
        <v>173</v>
      </c>
      <c r="G181" s="914">
        <f>IF(F181="",0,IF(F181="ระดับชาติ",45,IF(F181="ระดับนานาชาติ",90,45)))</f>
        <v>90</v>
      </c>
      <c r="H181" s="915">
        <f>IF(C181&lt;&gt;"",G181,0)</f>
        <v>90</v>
      </c>
      <c r="I181" s="916">
        <f t="shared" ref="I181:I201" si="59">H181/15</f>
        <v>6</v>
      </c>
      <c r="J181" s="3075" t="s">
        <v>192</v>
      </c>
      <c r="K181" s="3076"/>
      <c r="L181" s="3054" t="s">
        <v>638</v>
      </c>
      <c r="M181" s="2993"/>
      <c r="N181" s="3055"/>
      <c r="O181" s="1506">
        <v>240817</v>
      </c>
      <c r="P181" s="917" t="s">
        <v>172</v>
      </c>
      <c r="Q181" s="917" t="s">
        <v>172</v>
      </c>
      <c r="R181" s="918"/>
      <c r="S181" s="767"/>
      <c r="T181" s="767"/>
      <c r="U181" s="767"/>
      <c r="V181" s="767"/>
      <c r="W181" s="921" t="s">
        <v>678</v>
      </c>
      <c r="X181" s="921"/>
      <c r="Y181" s="920"/>
      <c r="Z181" s="920"/>
      <c r="AA181" s="920"/>
    </row>
    <row r="182" spans="2:27" s="769" customFormat="1" x14ac:dyDescent="0.2">
      <c r="B182" s="923" t="s">
        <v>641</v>
      </c>
      <c r="C182" s="3027"/>
      <c r="D182" s="3028"/>
      <c r="E182" s="3029"/>
      <c r="F182" s="924"/>
      <c r="G182" s="860">
        <f>IF(F182="",0,IF(F182="ระดับชาติ",45,IF(F182="ระดับนานาชาติ",90,45)))</f>
        <v>0</v>
      </c>
      <c r="H182" s="977">
        <f>IF(C182&lt;&gt;"",G182,0)</f>
        <v>0</v>
      </c>
      <c r="I182" s="761">
        <f t="shared" si="59"/>
        <v>0</v>
      </c>
      <c r="J182" s="3073"/>
      <c r="K182" s="3074"/>
      <c r="L182" s="2997"/>
      <c r="M182" s="2979"/>
      <c r="N182" s="2998"/>
      <c r="O182" s="1507"/>
      <c r="P182" s="925"/>
      <c r="Q182" s="925"/>
      <c r="R182" s="926"/>
      <c r="S182" s="767">
        <f>IF(AND(F182&lt;&gt;"",C182&lt;&gt;""),IF(AND(F182="ระดับชาติ",C182&lt;&gt;""),3,IF(AND(F182="ระดับนานาชาติ",C182&lt;&gt;""),5,0)),0)</f>
        <v>0</v>
      </c>
      <c r="T182" s="767" t="str">
        <f>IF(J182&lt;&gt;"",MID(J182,1,3),"")</f>
        <v/>
      </c>
      <c r="U182" s="767">
        <f>IF(S182&lt;&gt;0,IF(T182&lt;&gt;"",IF(OR(T182="0.2",T182="0.4",T182="0.6"),1,IF(T182="0.8",2,IF(T182="1.0",3,0))),0),0)</f>
        <v>0</v>
      </c>
      <c r="V182" s="767">
        <f>IF(O182="",0,IF(U182=1,IF(AND(O182&gt;=$S$21,O182&lt;=$T$21),1,0),IF(U182=2,IF(AND(O182&gt;=$S$21,O182&lt;=$T$21),1,0),IF(U182=3,IF(AND(O182&gt;=$S$21,O182&lt;=$T$21),1,0),0))))</f>
        <v>0</v>
      </c>
      <c r="W182" s="767">
        <f>IF(AND(U182&lt;&gt;0,V182&lt;&gt;0),1,0)</f>
        <v>0</v>
      </c>
      <c r="X182" s="768"/>
      <c r="Y182" s="768"/>
      <c r="Z182" s="768"/>
      <c r="AA182" s="768"/>
    </row>
    <row r="183" spans="2:27" s="769" customFormat="1" x14ac:dyDescent="0.2">
      <c r="B183" s="923" t="s">
        <v>642</v>
      </c>
      <c r="C183" s="3027"/>
      <c r="D183" s="3028"/>
      <c r="E183" s="3029"/>
      <c r="F183" s="924"/>
      <c r="G183" s="860">
        <f t="shared" ref="G183:G201" si="60">IF(F183="",0,IF(F183="ระดับชาติ",45,IF(F183="ระดับนานาชาติ",90,45)))</f>
        <v>0</v>
      </c>
      <c r="H183" s="977">
        <f t="shared" ref="H183:H201" si="61">IF(C183&lt;&gt;"",G183,0)</f>
        <v>0</v>
      </c>
      <c r="I183" s="761">
        <f t="shared" si="59"/>
        <v>0</v>
      </c>
      <c r="J183" s="3073"/>
      <c r="K183" s="3074"/>
      <c r="L183" s="2997"/>
      <c r="M183" s="2979"/>
      <c r="N183" s="2998"/>
      <c r="O183" s="1507"/>
      <c r="P183" s="925"/>
      <c r="Q183" s="925"/>
      <c r="R183" s="926"/>
      <c r="S183" s="767">
        <f t="shared" ref="S183:S201" si="62">IF(AND(F183&lt;&gt;"",C183&lt;&gt;""),IF(AND(F183="ระดับชาติ",C183&lt;&gt;""),3,IF(AND(F183="ระดับนานาชาติ",C183&lt;&gt;""),5,0)),0)</f>
        <v>0</v>
      </c>
      <c r="T183" s="767" t="str">
        <f t="shared" ref="T183:T201" si="63">IF(J183&lt;&gt;"",MID(J183,1,3),"")</f>
        <v/>
      </c>
      <c r="U183" s="767">
        <f t="shared" ref="U183:U201" si="64">IF(S183&lt;&gt;0,IF(T183&lt;&gt;"",IF(OR(T183="0.2",T183="0.4",T183="0.6"),1,IF(T183="0.8",2,IF(T183="1.0",3,0))),0),0)</f>
        <v>0</v>
      </c>
      <c r="V183" s="767">
        <f t="shared" ref="V183:V201" si="65">IF(O183="",0,IF(U183=1,IF(AND(O183&gt;=$S$21,O183&lt;=$T$21),1,0),IF(U183=2,IF(AND(O183&gt;=$S$21,O183&lt;=$T$21),1,0),IF(U183=3,IF(AND(O183&gt;=$S$21,O183&lt;=$T$21),1,0),0))))</f>
        <v>0</v>
      </c>
      <c r="W183" s="767">
        <f t="shared" ref="W183:W201" si="66">IF(AND(U183&lt;&gt;0,V183&lt;&gt;0),1,0)</f>
        <v>0</v>
      </c>
      <c r="X183" s="768"/>
      <c r="Y183" s="768"/>
      <c r="Z183" s="768"/>
      <c r="AA183" s="768"/>
    </row>
    <row r="184" spans="2:27" s="769" customFormat="1" x14ac:dyDescent="0.2">
      <c r="B184" s="923" t="s">
        <v>643</v>
      </c>
      <c r="C184" s="3027"/>
      <c r="D184" s="3028"/>
      <c r="E184" s="3029"/>
      <c r="F184" s="924"/>
      <c r="G184" s="860">
        <f t="shared" si="60"/>
        <v>0</v>
      </c>
      <c r="H184" s="977">
        <f t="shared" si="61"/>
        <v>0</v>
      </c>
      <c r="I184" s="761">
        <f t="shared" si="59"/>
        <v>0</v>
      </c>
      <c r="J184" s="3073"/>
      <c r="K184" s="3074"/>
      <c r="L184" s="2997"/>
      <c r="M184" s="2979"/>
      <c r="N184" s="2998"/>
      <c r="O184" s="1507"/>
      <c r="P184" s="925"/>
      <c r="Q184" s="925"/>
      <c r="R184" s="926"/>
      <c r="S184" s="767">
        <f t="shared" si="62"/>
        <v>0</v>
      </c>
      <c r="T184" s="767" t="str">
        <f t="shared" si="63"/>
        <v/>
      </c>
      <c r="U184" s="767">
        <f t="shared" si="64"/>
        <v>0</v>
      </c>
      <c r="V184" s="767">
        <f t="shared" si="65"/>
        <v>0</v>
      </c>
      <c r="W184" s="767">
        <f t="shared" si="66"/>
        <v>0</v>
      </c>
      <c r="X184" s="768"/>
      <c r="Y184" s="768"/>
      <c r="Z184" s="768"/>
      <c r="AA184" s="768"/>
    </row>
    <row r="185" spans="2:27" s="769" customFormat="1" x14ac:dyDescent="0.2">
      <c r="B185" s="923" t="s">
        <v>644</v>
      </c>
      <c r="C185" s="3027"/>
      <c r="D185" s="3028"/>
      <c r="E185" s="3029"/>
      <c r="F185" s="924"/>
      <c r="G185" s="860">
        <f t="shared" si="60"/>
        <v>0</v>
      </c>
      <c r="H185" s="977">
        <f t="shared" si="61"/>
        <v>0</v>
      </c>
      <c r="I185" s="761">
        <f t="shared" si="59"/>
        <v>0</v>
      </c>
      <c r="J185" s="3073"/>
      <c r="K185" s="3074"/>
      <c r="L185" s="2997"/>
      <c r="M185" s="2979"/>
      <c r="N185" s="2998"/>
      <c r="O185" s="1507"/>
      <c r="P185" s="925"/>
      <c r="Q185" s="925"/>
      <c r="R185" s="926"/>
      <c r="S185" s="767">
        <f t="shared" si="62"/>
        <v>0</v>
      </c>
      <c r="T185" s="767" t="str">
        <f t="shared" si="63"/>
        <v/>
      </c>
      <c r="U185" s="767">
        <f t="shared" si="64"/>
        <v>0</v>
      </c>
      <c r="V185" s="767">
        <f t="shared" si="65"/>
        <v>0</v>
      </c>
      <c r="W185" s="767">
        <f t="shared" si="66"/>
        <v>0</v>
      </c>
      <c r="X185" s="768"/>
      <c r="Y185" s="768"/>
      <c r="Z185" s="768"/>
      <c r="AA185" s="768"/>
    </row>
    <row r="186" spans="2:27" s="769" customFormat="1" x14ac:dyDescent="0.2">
      <c r="B186" s="923" t="s">
        <v>645</v>
      </c>
      <c r="C186" s="3027"/>
      <c r="D186" s="3028"/>
      <c r="E186" s="3029"/>
      <c r="F186" s="924"/>
      <c r="G186" s="860">
        <f t="shared" si="60"/>
        <v>0</v>
      </c>
      <c r="H186" s="977">
        <f t="shared" si="61"/>
        <v>0</v>
      </c>
      <c r="I186" s="761">
        <f t="shared" si="59"/>
        <v>0</v>
      </c>
      <c r="J186" s="3073"/>
      <c r="K186" s="3074"/>
      <c r="L186" s="2997"/>
      <c r="M186" s="2979"/>
      <c r="N186" s="2998"/>
      <c r="O186" s="1507"/>
      <c r="P186" s="925"/>
      <c r="Q186" s="925"/>
      <c r="R186" s="926"/>
      <c r="S186" s="767">
        <f t="shared" si="62"/>
        <v>0</v>
      </c>
      <c r="T186" s="767" t="str">
        <f t="shared" si="63"/>
        <v/>
      </c>
      <c r="U186" s="767">
        <f t="shared" si="64"/>
        <v>0</v>
      </c>
      <c r="V186" s="767">
        <f t="shared" si="65"/>
        <v>0</v>
      </c>
      <c r="W186" s="767">
        <f t="shared" si="66"/>
        <v>0</v>
      </c>
      <c r="X186" s="768"/>
      <c r="Y186" s="768"/>
      <c r="Z186" s="768"/>
      <c r="AA186" s="768"/>
    </row>
    <row r="187" spans="2:27" s="769" customFormat="1" x14ac:dyDescent="0.2">
      <c r="B187" s="923" t="s">
        <v>646</v>
      </c>
      <c r="C187" s="3027"/>
      <c r="D187" s="3028"/>
      <c r="E187" s="3029"/>
      <c r="F187" s="924"/>
      <c r="G187" s="860">
        <f t="shared" si="60"/>
        <v>0</v>
      </c>
      <c r="H187" s="977">
        <f t="shared" si="61"/>
        <v>0</v>
      </c>
      <c r="I187" s="761">
        <f t="shared" si="59"/>
        <v>0</v>
      </c>
      <c r="J187" s="3073"/>
      <c r="K187" s="3074"/>
      <c r="L187" s="2997"/>
      <c r="M187" s="2979"/>
      <c r="N187" s="2998"/>
      <c r="O187" s="1507"/>
      <c r="P187" s="925"/>
      <c r="Q187" s="925"/>
      <c r="R187" s="926"/>
      <c r="S187" s="767">
        <f t="shared" si="62"/>
        <v>0</v>
      </c>
      <c r="T187" s="767" t="str">
        <f t="shared" si="63"/>
        <v/>
      </c>
      <c r="U187" s="767">
        <f t="shared" si="64"/>
        <v>0</v>
      </c>
      <c r="V187" s="767">
        <f t="shared" si="65"/>
        <v>0</v>
      </c>
      <c r="W187" s="767">
        <f t="shared" si="66"/>
        <v>0</v>
      </c>
      <c r="X187" s="768"/>
      <c r="Y187" s="768"/>
      <c r="Z187" s="768"/>
      <c r="AA187" s="768"/>
    </row>
    <row r="188" spans="2:27" s="769" customFormat="1" x14ac:dyDescent="0.2">
      <c r="B188" s="923" t="s">
        <v>647</v>
      </c>
      <c r="C188" s="3027"/>
      <c r="D188" s="3028"/>
      <c r="E188" s="3029"/>
      <c r="F188" s="924"/>
      <c r="G188" s="860">
        <f t="shared" si="60"/>
        <v>0</v>
      </c>
      <c r="H188" s="977">
        <f t="shared" si="61"/>
        <v>0</v>
      </c>
      <c r="I188" s="761">
        <f t="shared" si="59"/>
        <v>0</v>
      </c>
      <c r="J188" s="3073"/>
      <c r="K188" s="3074"/>
      <c r="L188" s="2997"/>
      <c r="M188" s="2979"/>
      <c r="N188" s="2998"/>
      <c r="O188" s="1507"/>
      <c r="P188" s="925"/>
      <c r="Q188" s="925"/>
      <c r="R188" s="926"/>
      <c r="S188" s="767">
        <f t="shared" si="62"/>
        <v>0</v>
      </c>
      <c r="T188" s="767" t="str">
        <f t="shared" si="63"/>
        <v/>
      </c>
      <c r="U188" s="767">
        <f t="shared" si="64"/>
        <v>0</v>
      </c>
      <c r="V188" s="767">
        <f t="shared" si="65"/>
        <v>0</v>
      </c>
      <c r="W188" s="767">
        <f t="shared" si="66"/>
        <v>0</v>
      </c>
      <c r="X188" s="768"/>
      <c r="Y188" s="768"/>
      <c r="Z188" s="768"/>
      <c r="AA188" s="768"/>
    </row>
    <row r="189" spans="2:27" s="769" customFormat="1" x14ac:dyDescent="0.2">
      <c r="B189" s="923" t="s">
        <v>648</v>
      </c>
      <c r="C189" s="3027"/>
      <c r="D189" s="3028"/>
      <c r="E189" s="3029"/>
      <c r="F189" s="924"/>
      <c r="G189" s="860">
        <f t="shared" si="60"/>
        <v>0</v>
      </c>
      <c r="H189" s="977">
        <f t="shared" si="61"/>
        <v>0</v>
      </c>
      <c r="I189" s="761">
        <f t="shared" si="59"/>
        <v>0</v>
      </c>
      <c r="J189" s="3073"/>
      <c r="K189" s="3074"/>
      <c r="L189" s="2997"/>
      <c r="M189" s="2979"/>
      <c r="N189" s="2998"/>
      <c r="O189" s="1507"/>
      <c r="P189" s="925"/>
      <c r="Q189" s="925"/>
      <c r="R189" s="926"/>
      <c r="S189" s="767">
        <f t="shared" si="62"/>
        <v>0</v>
      </c>
      <c r="T189" s="767" t="str">
        <f t="shared" si="63"/>
        <v/>
      </c>
      <c r="U189" s="767">
        <f t="shared" si="64"/>
        <v>0</v>
      </c>
      <c r="V189" s="767">
        <f t="shared" si="65"/>
        <v>0</v>
      </c>
      <c r="W189" s="767">
        <f t="shared" si="66"/>
        <v>0</v>
      </c>
      <c r="X189" s="768"/>
      <c r="Y189" s="768"/>
      <c r="Z189" s="768"/>
      <c r="AA189" s="768"/>
    </row>
    <row r="190" spans="2:27" s="769" customFormat="1" x14ac:dyDescent="0.2">
      <c r="B190" s="923" t="s">
        <v>649</v>
      </c>
      <c r="C190" s="3027"/>
      <c r="D190" s="3028"/>
      <c r="E190" s="3029"/>
      <c r="F190" s="924"/>
      <c r="G190" s="860">
        <f t="shared" si="60"/>
        <v>0</v>
      </c>
      <c r="H190" s="977">
        <f t="shared" si="61"/>
        <v>0</v>
      </c>
      <c r="I190" s="761">
        <f t="shared" si="59"/>
        <v>0</v>
      </c>
      <c r="J190" s="3073"/>
      <c r="K190" s="3074"/>
      <c r="L190" s="2997"/>
      <c r="M190" s="2979"/>
      <c r="N190" s="2998"/>
      <c r="O190" s="1507"/>
      <c r="P190" s="925"/>
      <c r="Q190" s="925"/>
      <c r="R190" s="926"/>
      <c r="S190" s="767">
        <f t="shared" si="62"/>
        <v>0</v>
      </c>
      <c r="T190" s="767" t="str">
        <f t="shared" si="63"/>
        <v/>
      </c>
      <c r="U190" s="767">
        <f t="shared" si="64"/>
        <v>0</v>
      </c>
      <c r="V190" s="767">
        <f t="shared" si="65"/>
        <v>0</v>
      </c>
      <c r="W190" s="767">
        <f t="shared" si="66"/>
        <v>0</v>
      </c>
      <c r="X190" s="768"/>
      <c r="Y190" s="768"/>
      <c r="Z190" s="768"/>
      <c r="AA190" s="768"/>
    </row>
    <row r="191" spans="2:27" s="769" customFormat="1" x14ac:dyDescent="0.2">
      <c r="B191" s="923" t="s">
        <v>650</v>
      </c>
      <c r="C191" s="3027"/>
      <c r="D191" s="3028"/>
      <c r="E191" s="3029"/>
      <c r="F191" s="924"/>
      <c r="G191" s="860">
        <f t="shared" si="60"/>
        <v>0</v>
      </c>
      <c r="H191" s="977">
        <f t="shared" si="61"/>
        <v>0</v>
      </c>
      <c r="I191" s="761">
        <f t="shared" si="59"/>
        <v>0</v>
      </c>
      <c r="J191" s="3073"/>
      <c r="K191" s="3074"/>
      <c r="L191" s="2997"/>
      <c r="M191" s="2979"/>
      <c r="N191" s="2998"/>
      <c r="O191" s="1507"/>
      <c r="P191" s="925"/>
      <c r="Q191" s="925"/>
      <c r="R191" s="926"/>
      <c r="S191" s="767">
        <f t="shared" si="62"/>
        <v>0</v>
      </c>
      <c r="T191" s="767" t="str">
        <f t="shared" si="63"/>
        <v/>
      </c>
      <c r="U191" s="767">
        <f t="shared" si="64"/>
        <v>0</v>
      </c>
      <c r="V191" s="767">
        <f t="shared" si="65"/>
        <v>0</v>
      </c>
      <c r="W191" s="767">
        <f t="shared" si="66"/>
        <v>0</v>
      </c>
      <c r="X191" s="768"/>
      <c r="Y191" s="768"/>
      <c r="Z191" s="768"/>
      <c r="AA191" s="768"/>
    </row>
    <row r="192" spans="2:27" s="755" customFormat="1" x14ac:dyDescent="0.2">
      <c r="B192" s="923" t="s">
        <v>651</v>
      </c>
      <c r="C192" s="3008"/>
      <c r="D192" s="3056"/>
      <c r="E192" s="3009"/>
      <c r="F192" s="927"/>
      <c r="G192" s="860">
        <f t="shared" si="60"/>
        <v>0</v>
      </c>
      <c r="H192" s="977">
        <f t="shared" si="61"/>
        <v>0</v>
      </c>
      <c r="I192" s="928">
        <f t="shared" si="59"/>
        <v>0</v>
      </c>
      <c r="J192" s="3062"/>
      <c r="K192" s="3063"/>
      <c r="L192" s="2997"/>
      <c r="M192" s="2979"/>
      <c r="N192" s="2998"/>
      <c r="O192" s="1508"/>
      <c r="P192" s="929"/>
      <c r="Q192" s="929"/>
      <c r="R192" s="930"/>
      <c r="S192" s="767">
        <f t="shared" si="62"/>
        <v>0</v>
      </c>
      <c r="T192" s="767" t="str">
        <f t="shared" si="63"/>
        <v/>
      </c>
      <c r="U192" s="767">
        <f t="shared" si="64"/>
        <v>0</v>
      </c>
      <c r="V192" s="767">
        <f t="shared" si="65"/>
        <v>0</v>
      </c>
      <c r="W192" s="767">
        <f t="shared" si="66"/>
        <v>0</v>
      </c>
      <c r="X192" s="754"/>
      <c r="Y192" s="754"/>
      <c r="Z192" s="754"/>
      <c r="AA192" s="754"/>
    </row>
    <row r="193" spans="2:27" s="755" customFormat="1" x14ac:dyDescent="0.2">
      <c r="B193" s="923" t="s">
        <v>652</v>
      </c>
      <c r="C193" s="3008"/>
      <c r="D193" s="3056"/>
      <c r="E193" s="3009"/>
      <c r="F193" s="927"/>
      <c r="G193" s="860">
        <f t="shared" si="60"/>
        <v>0</v>
      </c>
      <c r="H193" s="977">
        <f t="shared" si="61"/>
        <v>0</v>
      </c>
      <c r="I193" s="928">
        <f t="shared" si="59"/>
        <v>0</v>
      </c>
      <c r="J193" s="3062"/>
      <c r="K193" s="3063"/>
      <c r="L193" s="2997"/>
      <c r="M193" s="2979"/>
      <c r="N193" s="2998"/>
      <c r="O193" s="1508"/>
      <c r="P193" s="929"/>
      <c r="Q193" s="929"/>
      <c r="R193" s="930"/>
      <c r="S193" s="767">
        <f t="shared" si="62"/>
        <v>0</v>
      </c>
      <c r="T193" s="767" t="str">
        <f t="shared" si="63"/>
        <v/>
      </c>
      <c r="U193" s="767">
        <f t="shared" si="64"/>
        <v>0</v>
      </c>
      <c r="V193" s="767">
        <f t="shared" si="65"/>
        <v>0</v>
      </c>
      <c r="W193" s="767">
        <f t="shared" si="66"/>
        <v>0</v>
      </c>
      <c r="X193" s="754"/>
      <c r="Y193" s="754"/>
      <c r="Z193" s="754"/>
      <c r="AA193" s="754"/>
    </row>
    <row r="194" spans="2:27" s="755" customFormat="1" x14ac:dyDescent="0.2">
      <c r="B194" s="923" t="s">
        <v>653</v>
      </c>
      <c r="C194" s="3008"/>
      <c r="D194" s="3056"/>
      <c r="E194" s="3009"/>
      <c r="F194" s="927"/>
      <c r="G194" s="860">
        <f t="shared" si="60"/>
        <v>0</v>
      </c>
      <c r="H194" s="977">
        <f t="shared" si="61"/>
        <v>0</v>
      </c>
      <c r="I194" s="928">
        <f t="shared" si="59"/>
        <v>0</v>
      </c>
      <c r="J194" s="3062"/>
      <c r="K194" s="3063"/>
      <c r="L194" s="2997"/>
      <c r="M194" s="2979"/>
      <c r="N194" s="2998"/>
      <c r="O194" s="1508"/>
      <c r="P194" s="929"/>
      <c r="Q194" s="929"/>
      <c r="R194" s="930"/>
      <c r="S194" s="767">
        <f t="shared" si="62"/>
        <v>0</v>
      </c>
      <c r="T194" s="767" t="str">
        <f t="shared" si="63"/>
        <v/>
      </c>
      <c r="U194" s="767">
        <f t="shared" si="64"/>
        <v>0</v>
      </c>
      <c r="V194" s="767">
        <f t="shared" si="65"/>
        <v>0</v>
      </c>
      <c r="W194" s="767">
        <f t="shared" si="66"/>
        <v>0</v>
      </c>
      <c r="X194" s="754"/>
      <c r="Y194" s="754"/>
      <c r="Z194" s="754"/>
      <c r="AA194" s="754"/>
    </row>
    <row r="195" spans="2:27" s="755" customFormat="1" x14ac:dyDescent="0.2">
      <c r="B195" s="923" t="s">
        <v>654</v>
      </c>
      <c r="C195" s="3008"/>
      <c r="D195" s="3056"/>
      <c r="E195" s="3009"/>
      <c r="F195" s="927"/>
      <c r="G195" s="860">
        <f t="shared" si="60"/>
        <v>0</v>
      </c>
      <c r="H195" s="977">
        <f t="shared" si="61"/>
        <v>0</v>
      </c>
      <c r="I195" s="928">
        <f t="shared" si="59"/>
        <v>0</v>
      </c>
      <c r="J195" s="3062"/>
      <c r="K195" s="3063"/>
      <c r="L195" s="2997"/>
      <c r="M195" s="2979"/>
      <c r="N195" s="2998"/>
      <c r="O195" s="1508"/>
      <c r="P195" s="929"/>
      <c r="Q195" s="929"/>
      <c r="R195" s="930"/>
      <c r="S195" s="767">
        <f t="shared" si="62"/>
        <v>0</v>
      </c>
      <c r="T195" s="767" t="str">
        <f t="shared" si="63"/>
        <v/>
      </c>
      <c r="U195" s="767">
        <f t="shared" si="64"/>
        <v>0</v>
      </c>
      <c r="V195" s="767">
        <f t="shared" si="65"/>
        <v>0</v>
      </c>
      <c r="W195" s="767">
        <f t="shared" si="66"/>
        <v>0</v>
      </c>
      <c r="X195" s="754"/>
      <c r="Y195" s="754"/>
      <c r="Z195" s="754"/>
      <c r="AA195" s="754"/>
    </row>
    <row r="196" spans="2:27" s="755" customFormat="1" x14ac:dyDescent="0.2">
      <c r="B196" s="923" t="s">
        <v>655</v>
      </c>
      <c r="C196" s="3008"/>
      <c r="D196" s="3056"/>
      <c r="E196" s="3009"/>
      <c r="F196" s="927"/>
      <c r="G196" s="860">
        <f t="shared" si="60"/>
        <v>0</v>
      </c>
      <c r="H196" s="977">
        <f t="shared" si="61"/>
        <v>0</v>
      </c>
      <c r="I196" s="928">
        <f t="shared" si="59"/>
        <v>0</v>
      </c>
      <c r="J196" s="3062"/>
      <c r="K196" s="3063"/>
      <c r="L196" s="2997"/>
      <c r="M196" s="2979"/>
      <c r="N196" s="2998"/>
      <c r="O196" s="1508"/>
      <c r="P196" s="929"/>
      <c r="Q196" s="929"/>
      <c r="R196" s="930"/>
      <c r="S196" s="767">
        <f t="shared" si="62"/>
        <v>0</v>
      </c>
      <c r="T196" s="767" t="str">
        <f t="shared" si="63"/>
        <v/>
      </c>
      <c r="U196" s="767">
        <f t="shared" si="64"/>
        <v>0</v>
      </c>
      <c r="V196" s="767">
        <f t="shared" si="65"/>
        <v>0</v>
      </c>
      <c r="W196" s="767">
        <f t="shared" si="66"/>
        <v>0</v>
      </c>
      <c r="X196" s="754"/>
      <c r="Y196" s="754"/>
      <c r="Z196" s="754"/>
      <c r="AA196" s="754"/>
    </row>
    <row r="197" spans="2:27" s="755" customFormat="1" x14ac:dyDescent="0.2">
      <c r="B197" s="923" t="s">
        <v>656</v>
      </c>
      <c r="C197" s="3008"/>
      <c r="D197" s="3056"/>
      <c r="E197" s="3009"/>
      <c r="F197" s="927"/>
      <c r="G197" s="860">
        <f t="shared" si="60"/>
        <v>0</v>
      </c>
      <c r="H197" s="977">
        <f t="shared" si="61"/>
        <v>0</v>
      </c>
      <c r="I197" s="928">
        <f t="shared" si="59"/>
        <v>0</v>
      </c>
      <c r="J197" s="3062"/>
      <c r="K197" s="3063"/>
      <c r="L197" s="2997"/>
      <c r="M197" s="2979"/>
      <c r="N197" s="2998"/>
      <c r="O197" s="1508"/>
      <c r="P197" s="929"/>
      <c r="Q197" s="929"/>
      <c r="R197" s="930"/>
      <c r="S197" s="767">
        <f t="shared" si="62"/>
        <v>0</v>
      </c>
      <c r="T197" s="767" t="str">
        <f t="shared" si="63"/>
        <v/>
      </c>
      <c r="U197" s="767">
        <f t="shared" si="64"/>
        <v>0</v>
      </c>
      <c r="V197" s="767">
        <f t="shared" si="65"/>
        <v>0</v>
      </c>
      <c r="W197" s="767">
        <f t="shared" si="66"/>
        <v>0</v>
      </c>
      <c r="X197" s="754"/>
      <c r="Y197" s="754"/>
      <c r="Z197" s="754"/>
      <c r="AA197" s="754"/>
    </row>
    <row r="198" spans="2:27" s="755" customFormat="1" x14ac:dyDescent="0.2">
      <c r="B198" s="923" t="s">
        <v>657</v>
      </c>
      <c r="C198" s="3008"/>
      <c r="D198" s="3056"/>
      <c r="E198" s="3009"/>
      <c r="F198" s="927"/>
      <c r="G198" s="860">
        <f t="shared" si="60"/>
        <v>0</v>
      </c>
      <c r="H198" s="977">
        <f t="shared" si="61"/>
        <v>0</v>
      </c>
      <c r="I198" s="928">
        <f t="shared" si="59"/>
        <v>0</v>
      </c>
      <c r="J198" s="3062"/>
      <c r="K198" s="3063"/>
      <c r="L198" s="2997"/>
      <c r="M198" s="2979"/>
      <c r="N198" s="2998"/>
      <c r="O198" s="1508"/>
      <c r="P198" s="929"/>
      <c r="Q198" s="929"/>
      <c r="R198" s="930"/>
      <c r="S198" s="767">
        <f t="shared" si="62"/>
        <v>0</v>
      </c>
      <c r="T198" s="767" t="str">
        <f t="shared" si="63"/>
        <v/>
      </c>
      <c r="U198" s="767">
        <f t="shared" si="64"/>
        <v>0</v>
      </c>
      <c r="V198" s="767">
        <f t="shared" si="65"/>
        <v>0</v>
      </c>
      <c r="W198" s="767">
        <f t="shared" si="66"/>
        <v>0</v>
      </c>
      <c r="X198" s="754"/>
      <c r="Y198" s="754"/>
      <c r="Z198" s="754"/>
      <c r="AA198" s="754"/>
    </row>
    <row r="199" spans="2:27" s="755" customFormat="1" x14ac:dyDescent="0.2">
      <c r="B199" s="923" t="s">
        <v>658</v>
      </c>
      <c r="C199" s="3008"/>
      <c r="D199" s="3056"/>
      <c r="E199" s="3009"/>
      <c r="F199" s="927"/>
      <c r="G199" s="860">
        <f t="shared" si="60"/>
        <v>0</v>
      </c>
      <c r="H199" s="977">
        <f t="shared" si="61"/>
        <v>0</v>
      </c>
      <c r="I199" s="928">
        <f t="shared" si="59"/>
        <v>0</v>
      </c>
      <c r="J199" s="3062"/>
      <c r="K199" s="3063"/>
      <c r="L199" s="2997"/>
      <c r="M199" s="2979"/>
      <c r="N199" s="2998"/>
      <c r="O199" s="1508"/>
      <c r="P199" s="929"/>
      <c r="Q199" s="929"/>
      <c r="R199" s="930"/>
      <c r="S199" s="767">
        <f t="shared" si="62"/>
        <v>0</v>
      </c>
      <c r="T199" s="767" t="str">
        <f t="shared" si="63"/>
        <v/>
      </c>
      <c r="U199" s="767">
        <f t="shared" si="64"/>
        <v>0</v>
      </c>
      <c r="V199" s="767">
        <f t="shared" si="65"/>
        <v>0</v>
      </c>
      <c r="W199" s="767">
        <f t="shared" si="66"/>
        <v>0</v>
      </c>
      <c r="X199" s="754"/>
      <c r="Y199" s="754"/>
      <c r="Z199" s="754"/>
      <c r="AA199" s="754"/>
    </row>
    <row r="200" spans="2:27" s="755" customFormat="1" x14ac:dyDescent="0.2">
      <c r="B200" s="923" t="s">
        <v>659</v>
      </c>
      <c r="C200" s="3008"/>
      <c r="D200" s="3056"/>
      <c r="E200" s="3009"/>
      <c r="F200" s="927"/>
      <c r="G200" s="860">
        <f t="shared" si="60"/>
        <v>0</v>
      </c>
      <c r="H200" s="977">
        <f t="shared" si="61"/>
        <v>0</v>
      </c>
      <c r="I200" s="928">
        <f t="shared" si="59"/>
        <v>0</v>
      </c>
      <c r="J200" s="3062"/>
      <c r="K200" s="3063"/>
      <c r="L200" s="2997"/>
      <c r="M200" s="2979"/>
      <c r="N200" s="2998"/>
      <c r="O200" s="1508"/>
      <c r="P200" s="929"/>
      <c r="Q200" s="929"/>
      <c r="R200" s="930"/>
      <c r="S200" s="767">
        <f t="shared" si="62"/>
        <v>0</v>
      </c>
      <c r="T200" s="767" t="str">
        <f t="shared" si="63"/>
        <v/>
      </c>
      <c r="U200" s="767">
        <f t="shared" si="64"/>
        <v>0</v>
      </c>
      <c r="V200" s="767">
        <f t="shared" si="65"/>
        <v>0</v>
      </c>
      <c r="W200" s="767">
        <f t="shared" si="66"/>
        <v>0</v>
      </c>
      <c r="X200" s="754"/>
      <c r="Y200" s="754"/>
      <c r="Z200" s="754"/>
      <c r="AA200" s="754"/>
    </row>
    <row r="201" spans="2:27" s="755" customFormat="1" x14ac:dyDescent="0.2">
      <c r="B201" s="923" t="s">
        <v>660</v>
      </c>
      <c r="C201" s="3008"/>
      <c r="D201" s="3056"/>
      <c r="E201" s="3009"/>
      <c r="F201" s="927"/>
      <c r="G201" s="860">
        <f t="shared" si="60"/>
        <v>0</v>
      </c>
      <c r="H201" s="977">
        <f t="shared" si="61"/>
        <v>0</v>
      </c>
      <c r="I201" s="928">
        <f t="shared" si="59"/>
        <v>0</v>
      </c>
      <c r="J201" s="3062"/>
      <c r="K201" s="3063"/>
      <c r="L201" s="2997"/>
      <c r="M201" s="2979"/>
      <c r="N201" s="2998"/>
      <c r="O201" s="1508"/>
      <c r="P201" s="929"/>
      <c r="Q201" s="929"/>
      <c r="R201" s="930"/>
      <c r="S201" s="767">
        <f t="shared" si="62"/>
        <v>0</v>
      </c>
      <c r="T201" s="767" t="str">
        <f t="shared" si="63"/>
        <v/>
      </c>
      <c r="U201" s="767">
        <f t="shared" si="64"/>
        <v>0</v>
      </c>
      <c r="V201" s="767">
        <f t="shared" si="65"/>
        <v>0</v>
      </c>
      <c r="W201" s="767">
        <f t="shared" si="66"/>
        <v>0</v>
      </c>
      <c r="X201" s="754"/>
      <c r="Y201" s="754"/>
      <c r="Z201" s="754"/>
      <c r="AA201" s="754"/>
    </row>
    <row r="202" spans="2:27" s="755" customFormat="1" ht="21" customHeight="1" x14ac:dyDescent="0.2">
      <c r="B202" s="931"/>
      <c r="C202" s="932"/>
      <c r="D202" s="932"/>
      <c r="E202" s="933"/>
      <c r="F202" s="934"/>
      <c r="G202" s="935" t="s">
        <v>681</v>
      </c>
      <c r="H202" s="936">
        <f>SUM(H182:H201)</f>
        <v>0</v>
      </c>
      <c r="I202" s="937">
        <f>SUM(I182:I201)</f>
        <v>0</v>
      </c>
      <c r="J202" s="938"/>
      <c r="K202" s="939"/>
      <c r="L202" s="940"/>
      <c r="M202" s="1184">
        <f>SUM(V182:V201)</f>
        <v>0</v>
      </c>
      <c r="N202" s="978"/>
      <c r="O202" s="943">
        <f>COUNTIF(S182:S201,"3")</f>
        <v>0</v>
      </c>
      <c r="P202" s="943"/>
      <c r="Q202" s="943"/>
      <c r="R202" s="944"/>
      <c r="S202" s="767"/>
      <c r="T202" s="767"/>
      <c r="U202" s="767"/>
      <c r="V202" s="767"/>
      <c r="W202" s="735">
        <f>SUM(W182:W201)</f>
        <v>0</v>
      </c>
      <c r="X202" s="754"/>
      <c r="Y202" s="754"/>
      <c r="Z202" s="754"/>
      <c r="AA202" s="754"/>
    </row>
    <row r="203" spans="2:27" s="842" customFormat="1" ht="12.75" customHeight="1" x14ac:dyDescent="0.2">
      <c r="B203" s="965"/>
      <c r="C203" s="836"/>
      <c r="D203" s="836"/>
      <c r="E203" s="836"/>
      <c r="F203" s="836"/>
      <c r="G203" s="986"/>
      <c r="H203" s="967"/>
      <c r="I203" s="967"/>
      <c r="J203" s="967"/>
      <c r="K203" s="967"/>
      <c r="L203" s="967"/>
      <c r="M203" s="836"/>
      <c r="N203" s="836"/>
      <c r="O203" s="946"/>
      <c r="P203" s="836"/>
      <c r="Q203" s="836"/>
      <c r="R203" s="836"/>
      <c r="S203" s="767"/>
      <c r="T203" s="767"/>
      <c r="U203" s="767"/>
      <c r="V203" s="767"/>
      <c r="W203" s="840"/>
      <c r="X203" s="840"/>
      <c r="Y203" s="840"/>
      <c r="Z203" s="840"/>
      <c r="AA203" s="840"/>
    </row>
    <row r="204" spans="2:27" s="725" customFormat="1" ht="21" customHeight="1" x14ac:dyDescent="0.2">
      <c r="B204" s="970" t="s">
        <v>682</v>
      </c>
      <c r="C204" s="971"/>
      <c r="D204" s="982"/>
      <c r="E204" s="983"/>
      <c r="F204" s="983"/>
      <c r="G204" s="983"/>
      <c r="H204" s="984"/>
      <c r="I204" s="985"/>
      <c r="J204" s="987"/>
      <c r="K204" s="988"/>
      <c r="L204" s="988"/>
      <c r="M204" s="988"/>
      <c r="N204" s="988"/>
      <c r="O204" s="989"/>
      <c r="P204" s="722"/>
      <c r="Q204" s="722"/>
      <c r="R204" s="722"/>
      <c r="S204" s="767"/>
      <c r="T204" s="767"/>
      <c r="U204" s="767"/>
      <c r="V204" s="767"/>
      <c r="W204" s="723"/>
      <c r="X204" s="723"/>
      <c r="Y204" s="723"/>
      <c r="Z204" s="723"/>
      <c r="AA204" s="723"/>
    </row>
    <row r="205" spans="2:27" s="755" customFormat="1" ht="12.75" customHeight="1" x14ac:dyDescent="0.2">
      <c r="B205" s="891"/>
      <c r="C205" s="3064" t="s">
        <v>675</v>
      </c>
      <c r="D205" s="3065"/>
      <c r="E205" s="3065"/>
      <c r="F205" s="3066"/>
      <c r="G205" s="893" t="s">
        <v>623</v>
      </c>
      <c r="H205" s="729" t="s">
        <v>443</v>
      </c>
      <c r="I205" s="730" t="s">
        <v>443</v>
      </c>
      <c r="J205" s="2988" t="s">
        <v>625</v>
      </c>
      <c r="K205" s="2986"/>
      <c r="L205" s="2986"/>
      <c r="M205" s="2986"/>
      <c r="N205" s="2986"/>
      <c r="O205" s="1185" t="s">
        <v>677</v>
      </c>
      <c r="P205" s="3036"/>
      <c r="Q205" s="3036"/>
      <c r="R205" s="3036"/>
      <c r="S205" s="767"/>
      <c r="T205" s="767"/>
      <c r="U205" s="767"/>
      <c r="V205" s="767"/>
      <c r="W205" s="754"/>
      <c r="X205" s="754"/>
      <c r="Y205" s="754"/>
      <c r="Z205" s="754"/>
      <c r="AA205" s="754"/>
    </row>
    <row r="206" spans="2:27" s="902" customFormat="1" x14ac:dyDescent="0.2">
      <c r="B206" s="894"/>
      <c r="C206" s="3067"/>
      <c r="D206" s="3068"/>
      <c r="E206" s="3068"/>
      <c r="F206" s="3069"/>
      <c r="G206" s="853"/>
      <c r="H206" s="853" t="s">
        <v>445</v>
      </c>
      <c r="I206" s="854" t="s">
        <v>315</v>
      </c>
      <c r="J206" s="2989" t="s">
        <v>630</v>
      </c>
      <c r="K206" s="2990"/>
      <c r="L206" s="2990"/>
      <c r="M206" s="2990"/>
      <c r="N206" s="2990"/>
      <c r="O206" s="990" t="s">
        <v>1018</v>
      </c>
      <c r="P206" s="991"/>
      <c r="Q206" s="991"/>
      <c r="R206" s="992"/>
      <c r="S206" s="767"/>
      <c r="T206" s="767"/>
      <c r="U206" s="767"/>
      <c r="V206" s="767"/>
      <c r="W206" s="900"/>
      <c r="X206" s="900"/>
      <c r="Y206" s="900"/>
      <c r="Z206" s="900"/>
      <c r="AA206" s="900"/>
    </row>
    <row r="207" spans="2:27" s="747" customFormat="1" x14ac:dyDescent="0.2">
      <c r="B207" s="737"/>
      <c r="C207" s="3070"/>
      <c r="D207" s="3071"/>
      <c r="E207" s="3071"/>
      <c r="F207" s="3072"/>
      <c r="G207" s="739"/>
      <c r="H207" s="906"/>
      <c r="I207" s="859"/>
      <c r="J207" s="907"/>
      <c r="K207" s="993"/>
      <c r="L207" s="993"/>
      <c r="M207" s="2991"/>
      <c r="N207" s="2991"/>
      <c r="O207" s="859"/>
      <c r="P207" s="733"/>
      <c r="Q207" s="733"/>
      <c r="R207" s="994"/>
      <c r="S207" s="767"/>
      <c r="T207" s="767"/>
      <c r="U207" s="767"/>
      <c r="V207" s="767"/>
      <c r="W207" s="745"/>
      <c r="X207" s="745"/>
      <c r="Y207" s="745"/>
      <c r="Z207" s="745"/>
      <c r="AA207" s="745"/>
    </row>
    <row r="208" spans="2:27" s="922" customFormat="1" ht="12.75" customHeight="1" x14ac:dyDescent="0.2">
      <c r="B208" s="912" t="s">
        <v>450</v>
      </c>
      <c r="C208" s="3059" t="s">
        <v>637</v>
      </c>
      <c r="D208" s="3060"/>
      <c r="E208" s="3060"/>
      <c r="F208" s="3061"/>
      <c r="G208" s="914">
        <v>10</v>
      </c>
      <c r="H208" s="915">
        <f>IF(C208&lt;&gt;"",G208,0)</f>
        <v>10</v>
      </c>
      <c r="I208" s="916">
        <f t="shared" ref="I208:I228" si="67">H208/15</f>
        <v>0.66666666666666663</v>
      </c>
      <c r="J208" s="2992" t="s">
        <v>638</v>
      </c>
      <c r="K208" s="2993"/>
      <c r="L208" s="2993"/>
      <c r="M208" s="2993"/>
      <c r="N208" s="2993"/>
      <c r="O208" s="1511">
        <v>240817</v>
      </c>
      <c r="P208" s="995"/>
      <c r="Q208" s="995"/>
      <c r="R208" s="995"/>
      <c r="S208" s="767"/>
      <c r="T208" s="767"/>
      <c r="U208" s="767"/>
      <c r="V208" s="767"/>
      <c r="W208" s="921"/>
      <c r="X208" s="921"/>
      <c r="Y208" s="920"/>
      <c r="Z208" s="920"/>
      <c r="AA208" s="920"/>
    </row>
    <row r="209" spans="2:27" s="769" customFormat="1" x14ac:dyDescent="0.2">
      <c r="B209" s="923" t="s">
        <v>641</v>
      </c>
      <c r="C209" s="3027"/>
      <c r="D209" s="3028"/>
      <c r="E209" s="3028"/>
      <c r="F209" s="3029"/>
      <c r="G209" s="860">
        <f>IF(C209="",0,10)</f>
        <v>0</v>
      </c>
      <c r="H209" s="977">
        <f>IF(C209&lt;&gt;"",G209,0)</f>
        <v>0</v>
      </c>
      <c r="I209" s="761">
        <f t="shared" si="67"/>
        <v>0</v>
      </c>
      <c r="J209" s="2978"/>
      <c r="K209" s="2979"/>
      <c r="L209" s="2979"/>
      <c r="M209" s="2979"/>
      <c r="N209" s="2979"/>
      <c r="O209" s="1512"/>
      <c r="P209" s="996"/>
      <c r="Q209" s="996"/>
      <c r="R209" s="996"/>
      <c r="S209" s="767"/>
      <c r="T209" s="767"/>
      <c r="U209" s="767"/>
      <c r="V209" s="767"/>
      <c r="W209" s="767"/>
      <c r="X209" s="768"/>
      <c r="Y209" s="768"/>
      <c r="Z209" s="768"/>
      <c r="AA209" s="768"/>
    </row>
    <row r="210" spans="2:27" s="769" customFormat="1" x14ac:dyDescent="0.2">
      <c r="B210" s="923" t="s">
        <v>642</v>
      </c>
      <c r="C210" s="3027"/>
      <c r="D210" s="3028"/>
      <c r="E210" s="3028"/>
      <c r="F210" s="3029"/>
      <c r="G210" s="860">
        <f t="shared" ref="G210:G228" si="68">IF(C210="",0,10)</f>
        <v>0</v>
      </c>
      <c r="H210" s="977">
        <f t="shared" ref="H210:H228" si="69">IF(C210&lt;&gt;"",G210,0)</f>
        <v>0</v>
      </c>
      <c r="I210" s="761">
        <f t="shared" si="67"/>
        <v>0</v>
      </c>
      <c r="J210" s="2978"/>
      <c r="K210" s="2979"/>
      <c r="L210" s="2979"/>
      <c r="M210" s="2979"/>
      <c r="N210" s="2979"/>
      <c r="O210" s="1512"/>
      <c r="P210" s="996"/>
      <c r="Q210" s="996"/>
      <c r="R210" s="996"/>
      <c r="S210" s="767"/>
      <c r="T210" s="767"/>
      <c r="U210" s="767"/>
      <c r="V210" s="767"/>
      <c r="W210" s="767"/>
      <c r="X210" s="768"/>
      <c r="Y210" s="768"/>
      <c r="Z210" s="768"/>
      <c r="AA210" s="768"/>
    </row>
    <row r="211" spans="2:27" s="769" customFormat="1" x14ac:dyDescent="0.2">
      <c r="B211" s="923" t="s">
        <v>643</v>
      </c>
      <c r="C211" s="3027"/>
      <c r="D211" s="3028"/>
      <c r="E211" s="3028"/>
      <c r="F211" s="3029"/>
      <c r="G211" s="860">
        <f t="shared" si="68"/>
        <v>0</v>
      </c>
      <c r="H211" s="977">
        <f t="shared" si="69"/>
        <v>0</v>
      </c>
      <c r="I211" s="761">
        <f t="shared" si="67"/>
        <v>0</v>
      </c>
      <c r="J211" s="2978"/>
      <c r="K211" s="2979"/>
      <c r="L211" s="2979"/>
      <c r="M211" s="2979"/>
      <c r="N211" s="2979"/>
      <c r="O211" s="1512"/>
      <c r="P211" s="996"/>
      <c r="Q211" s="996"/>
      <c r="R211" s="996"/>
      <c r="S211" s="767"/>
      <c r="T211" s="767"/>
      <c r="U211" s="767"/>
      <c r="V211" s="767"/>
      <c r="W211" s="767"/>
      <c r="X211" s="768"/>
      <c r="Y211" s="768"/>
      <c r="Z211" s="768"/>
      <c r="AA211" s="768"/>
    </row>
    <row r="212" spans="2:27" s="769" customFormat="1" x14ac:dyDescent="0.2">
      <c r="B212" s="923" t="s">
        <v>644</v>
      </c>
      <c r="C212" s="3027"/>
      <c r="D212" s="3028"/>
      <c r="E212" s="3028"/>
      <c r="F212" s="3029"/>
      <c r="G212" s="860">
        <f t="shared" si="68"/>
        <v>0</v>
      </c>
      <c r="H212" s="977">
        <f t="shared" si="69"/>
        <v>0</v>
      </c>
      <c r="I212" s="761">
        <f t="shared" si="67"/>
        <v>0</v>
      </c>
      <c r="J212" s="2978"/>
      <c r="K212" s="2979"/>
      <c r="L212" s="2979"/>
      <c r="M212" s="2979"/>
      <c r="N212" s="2979"/>
      <c r="O212" s="1512"/>
      <c r="P212" s="996"/>
      <c r="Q212" s="996"/>
      <c r="R212" s="996"/>
      <c r="S212" s="767"/>
      <c r="T212" s="767"/>
      <c r="U212" s="767"/>
      <c r="V212" s="767"/>
      <c r="W212" s="767"/>
      <c r="X212" s="768"/>
      <c r="Y212" s="768"/>
      <c r="Z212" s="768"/>
      <c r="AA212" s="768"/>
    </row>
    <row r="213" spans="2:27" s="769" customFormat="1" x14ac:dyDescent="0.2">
      <c r="B213" s="923" t="s">
        <v>645</v>
      </c>
      <c r="C213" s="3027"/>
      <c r="D213" s="3028"/>
      <c r="E213" s="3028"/>
      <c r="F213" s="3029"/>
      <c r="G213" s="860">
        <f t="shared" si="68"/>
        <v>0</v>
      </c>
      <c r="H213" s="977">
        <f t="shared" si="69"/>
        <v>0</v>
      </c>
      <c r="I213" s="761">
        <f t="shared" si="67"/>
        <v>0</v>
      </c>
      <c r="J213" s="2978"/>
      <c r="K213" s="2979"/>
      <c r="L213" s="2979"/>
      <c r="M213" s="2979"/>
      <c r="N213" s="2979"/>
      <c r="O213" s="1512"/>
      <c r="P213" s="996"/>
      <c r="Q213" s="996"/>
      <c r="R213" s="996"/>
      <c r="S213" s="767"/>
      <c r="T213" s="767"/>
      <c r="U213" s="767"/>
      <c r="V213" s="767"/>
      <c r="W213" s="767"/>
      <c r="X213" s="768"/>
      <c r="Y213" s="768"/>
      <c r="Z213" s="768"/>
      <c r="AA213" s="768"/>
    </row>
    <row r="214" spans="2:27" s="769" customFormat="1" x14ac:dyDescent="0.2">
      <c r="B214" s="923" t="s">
        <v>646</v>
      </c>
      <c r="C214" s="3027"/>
      <c r="D214" s="3028"/>
      <c r="E214" s="3028"/>
      <c r="F214" s="3029"/>
      <c r="G214" s="860">
        <f t="shared" si="68"/>
        <v>0</v>
      </c>
      <c r="H214" s="977">
        <f t="shared" si="69"/>
        <v>0</v>
      </c>
      <c r="I214" s="761">
        <f t="shared" si="67"/>
        <v>0</v>
      </c>
      <c r="J214" s="2978"/>
      <c r="K214" s="2979"/>
      <c r="L214" s="2979"/>
      <c r="M214" s="2979"/>
      <c r="N214" s="2979"/>
      <c r="O214" s="1512"/>
      <c r="P214" s="996"/>
      <c r="Q214" s="996"/>
      <c r="R214" s="996"/>
      <c r="S214" s="767"/>
      <c r="T214" s="767"/>
      <c r="U214" s="767"/>
      <c r="V214" s="767"/>
      <c r="W214" s="767"/>
      <c r="X214" s="768"/>
      <c r="Y214" s="768"/>
      <c r="Z214" s="768"/>
      <c r="AA214" s="768"/>
    </row>
    <row r="215" spans="2:27" s="769" customFormat="1" x14ac:dyDescent="0.2">
      <c r="B215" s="923" t="s">
        <v>647</v>
      </c>
      <c r="C215" s="3027"/>
      <c r="D215" s="3028"/>
      <c r="E215" s="3028"/>
      <c r="F215" s="3029"/>
      <c r="G215" s="860">
        <f t="shared" si="68"/>
        <v>0</v>
      </c>
      <c r="H215" s="977">
        <f t="shared" si="69"/>
        <v>0</v>
      </c>
      <c r="I215" s="761">
        <f t="shared" si="67"/>
        <v>0</v>
      </c>
      <c r="J215" s="2978"/>
      <c r="K215" s="2979"/>
      <c r="L215" s="2979"/>
      <c r="M215" s="2979"/>
      <c r="N215" s="2979"/>
      <c r="O215" s="1512"/>
      <c r="P215" s="996"/>
      <c r="Q215" s="996"/>
      <c r="R215" s="996"/>
      <c r="S215" s="767"/>
      <c r="T215" s="767"/>
      <c r="U215" s="767"/>
      <c r="V215" s="767"/>
      <c r="W215" s="767"/>
      <c r="X215" s="768"/>
      <c r="Y215" s="768"/>
      <c r="Z215" s="768"/>
      <c r="AA215" s="768"/>
    </row>
    <row r="216" spans="2:27" s="769" customFormat="1" x14ac:dyDescent="0.2">
      <c r="B216" s="923" t="s">
        <v>648</v>
      </c>
      <c r="C216" s="3027"/>
      <c r="D216" s="3028"/>
      <c r="E216" s="3028"/>
      <c r="F216" s="3029"/>
      <c r="G216" s="860">
        <f t="shared" si="68"/>
        <v>0</v>
      </c>
      <c r="H216" s="977">
        <f t="shared" si="69"/>
        <v>0</v>
      </c>
      <c r="I216" s="761">
        <f t="shared" si="67"/>
        <v>0</v>
      </c>
      <c r="J216" s="2978"/>
      <c r="K216" s="2979"/>
      <c r="L216" s="2979"/>
      <c r="M216" s="2979"/>
      <c r="N216" s="2979"/>
      <c r="O216" s="1512"/>
      <c r="P216" s="996"/>
      <c r="Q216" s="996"/>
      <c r="R216" s="996"/>
      <c r="S216" s="767"/>
      <c r="T216" s="767"/>
      <c r="U216" s="767"/>
      <c r="V216" s="767"/>
      <c r="W216" s="767"/>
      <c r="X216" s="768"/>
      <c r="Y216" s="768"/>
      <c r="Z216" s="768"/>
      <c r="AA216" s="768"/>
    </row>
    <row r="217" spans="2:27" s="769" customFormat="1" x14ac:dyDescent="0.2">
      <c r="B217" s="923" t="s">
        <v>649</v>
      </c>
      <c r="C217" s="3027"/>
      <c r="D217" s="3028"/>
      <c r="E217" s="3028"/>
      <c r="F217" s="3029"/>
      <c r="G217" s="860">
        <f t="shared" si="68"/>
        <v>0</v>
      </c>
      <c r="H217" s="977">
        <f t="shared" si="69"/>
        <v>0</v>
      </c>
      <c r="I217" s="761">
        <f t="shared" si="67"/>
        <v>0</v>
      </c>
      <c r="J217" s="2978"/>
      <c r="K217" s="2979"/>
      <c r="L217" s="2979"/>
      <c r="M217" s="2979"/>
      <c r="N217" s="2979"/>
      <c r="O217" s="1512"/>
      <c r="P217" s="996"/>
      <c r="Q217" s="996"/>
      <c r="R217" s="996"/>
      <c r="S217" s="767"/>
      <c r="T217" s="767"/>
      <c r="U217" s="767"/>
      <c r="V217" s="767"/>
      <c r="W217" s="767"/>
      <c r="X217" s="768"/>
      <c r="Y217" s="768"/>
      <c r="Z217" s="768"/>
      <c r="AA217" s="768"/>
    </row>
    <row r="218" spans="2:27" s="769" customFormat="1" x14ac:dyDescent="0.2">
      <c r="B218" s="923" t="s">
        <v>650</v>
      </c>
      <c r="C218" s="3027"/>
      <c r="D218" s="3028"/>
      <c r="E218" s="3028"/>
      <c r="F218" s="3029"/>
      <c r="G218" s="860">
        <f t="shared" si="68"/>
        <v>0</v>
      </c>
      <c r="H218" s="977">
        <f t="shared" si="69"/>
        <v>0</v>
      </c>
      <c r="I218" s="761">
        <f t="shared" si="67"/>
        <v>0</v>
      </c>
      <c r="J218" s="2978"/>
      <c r="K218" s="2979"/>
      <c r="L218" s="2979"/>
      <c r="M218" s="2979"/>
      <c r="N218" s="2979"/>
      <c r="O218" s="1512"/>
      <c r="P218" s="996"/>
      <c r="Q218" s="996"/>
      <c r="R218" s="996"/>
      <c r="S218" s="767"/>
      <c r="T218" s="767"/>
      <c r="U218" s="767"/>
      <c r="V218" s="767"/>
      <c r="W218" s="767"/>
      <c r="X218" s="768"/>
      <c r="Y218" s="768"/>
      <c r="Z218" s="768"/>
      <c r="AA218" s="768"/>
    </row>
    <row r="219" spans="2:27" s="755" customFormat="1" x14ac:dyDescent="0.2">
      <c r="B219" s="923" t="s">
        <v>651</v>
      </c>
      <c r="C219" s="3008"/>
      <c r="D219" s="3056"/>
      <c r="E219" s="3056"/>
      <c r="F219" s="3009"/>
      <c r="G219" s="860">
        <f t="shared" si="68"/>
        <v>0</v>
      </c>
      <c r="H219" s="977">
        <f t="shared" si="69"/>
        <v>0</v>
      </c>
      <c r="I219" s="928">
        <f t="shared" si="67"/>
        <v>0</v>
      </c>
      <c r="J219" s="3057"/>
      <c r="K219" s="3058"/>
      <c r="L219" s="3058"/>
      <c r="M219" s="3058"/>
      <c r="N219" s="3058"/>
      <c r="O219" s="1513"/>
      <c r="P219" s="997"/>
      <c r="Q219" s="997"/>
      <c r="R219" s="997"/>
      <c r="S219" s="767"/>
      <c r="T219" s="767"/>
      <c r="U219" s="767"/>
      <c r="V219" s="767"/>
      <c r="W219" s="767"/>
      <c r="X219" s="754"/>
      <c r="Y219" s="754"/>
      <c r="Z219" s="754"/>
      <c r="AA219" s="754"/>
    </row>
    <row r="220" spans="2:27" s="755" customFormat="1" x14ac:dyDescent="0.2">
      <c r="B220" s="923" t="s">
        <v>652</v>
      </c>
      <c r="C220" s="3008"/>
      <c r="D220" s="3056"/>
      <c r="E220" s="3056"/>
      <c r="F220" s="3009"/>
      <c r="G220" s="860">
        <f t="shared" si="68"/>
        <v>0</v>
      </c>
      <c r="H220" s="977">
        <f t="shared" si="69"/>
        <v>0</v>
      </c>
      <c r="I220" s="928">
        <f t="shared" si="67"/>
        <v>0</v>
      </c>
      <c r="J220" s="3057"/>
      <c r="K220" s="3058"/>
      <c r="L220" s="3058"/>
      <c r="M220" s="3058"/>
      <c r="N220" s="3058"/>
      <c r="O220" s="1513"/>
      <c r="P220" s="997"/>
      <c r="Q220" s="997"/>
      <c r="R220" s="997"/>
      <c r="S220" s="767"/>
      <c r="T220" s="767"/>
      <c r="U220" s="767"/>
      <c r="V220" s="767"/>
      <c r="W220" s="767"/>
      <c r="X220" s="754"/>
      <c r="Y220" s="754"/>
      <c r="Z220" s="754"/>
      <c r="AA220" s="754"/>
    </row>
    <row r="221" spans="2:27" s="755" customFormat="1" x14ac:dyDescent="0.2">
      <c r="B221" s="923" t="s">
        <v>653</v>
      </c>
      <c r="C221" s="3008"/>
      <c r="D221" s="3056"/>
      <c r="E221" s="3056"/>
      <c r="F221" s="3009"/>
      <c r="G221" s="860">
        <f t="shared" si="68"/>
        <v>0</v>
      </c>
      <c r="H221" s="977">
        <f t="shared" si="69"/>
        <v>0</v>
      </c>
      <c r="I221" s="928">
        <f t="shared" si="67"/>
        <v>0</v>
      </c>
      <c r="J221" s="3057"/>
      <c r="K221" s="3058"/>
      <c r="L221" s="3058"/>
      <c r="M221" s="3058"/>
      <c r="N221" s="3058"/>
      <c r="O221" s="1513"/>
      <c r="P221" s="997"/>
      <c r="Q221" s="997"/>
      <c r="R221" s="997"/>
      <c r="S221" s="767"/>
      <c r="T221" s="767"/>
      <c r="U221" s="767"/>
      <c r="V221" s="767"/>
      <c r="W221" s="767"/>
      <c r="X221" s="754"/>
      <c r="Y221" s="754"/>
      <c r="Z221" s="754"/>
      <c r="AA221" s="754"/>
    </row>
    <row r="222" spans="2:27" s="755" customFormat="1" x14ac:dyDescent="0.2">
      <c r="B222" s="923" t="s">
        <v>654</v>
      </c>
      <c r="C222" s="3008"/>
      <c r="D222" s="3056"/>
      <c r="E222" s="3056"/>
      <c r="F222" s="3009"/>
      <c r="G222" s="860">
        <f t="shared" si="68"/>
        <v>0</v>
      </c>
      <c r="H222" s="977">
        <f t="shared" si="69"/>
        <v>0</v>
      </c>
      <c r="I222" s="928">
        <f t="shared" si="67"/>
        <v>0</v>
      </c>
      <c r="J222" s="3057"/>
      <c r="K222" s="3058"/>
      <c r="L222" s="3058"/>
      <c r="M222" s="3058"/>
      <c r="N222" s="3058"/>
      <c r="O222" s="1513"/>
      <c r="P222" s="997"/>
      <c r="Q222" s="997"/>
      <c r="R222" s="997"/>
      <c r="S222" s="767"/>
      <c r="T222" s="767"/>
      <c r="U222" s="767"/>
      <c r="V222" s="767"/>
      <c r="W222" s="767"/>
      <c r="X222" s="754"/>
      <c r="Y222" s="754"/>
      <c r="Z222" s="754"/>
      <c r="AA222" s="754"/>
    </row>
    <row r="223" spans="2:27" s="755" customFormat="1" x14ac:dyDescent="0.2">
      <c r="B223" s="923" t="s">
        <v>655</v>
      </c>
      <c r="C223" s="3008"/>
      <c r="D223" s="3056"/>
      <c r="E223" s="3056"/>
      <c r="F223" s="3009"/>
      <c r="G223" s="860">
        <f t="shared" si="68"/>
        <v>0</v>
      </c>
      <c r="H223" s="977">
        <f t="shared" si="69"/>
        <v>0</v>
      </c>
      <c r="I223" s="928">
        <f t="shared" si="67"/>
        <v>0</v>
      </c>
      <c r="J223" s="3057"/>
      <c r="K223" s="3058"/>
      <c r="L223" s="3058"/>
      <c r="M223" s="3058"/>
      <c r="N223" s="3058"/>
      <c r="O223" s="1513"/>
      <c r="P223" s="997"/>
      <c r="Q223" s="997"/>
      <c r="R223" s="997"/>
      <c r="S223" s="767"/>
      <c r="T223" s="767"/>
      <c r="U223" s="767"/>
      <c r="V223" s="767"/>
      <c r="W223" s="767"/>
      <c r="X223" s="754"/>
      <c r="Y223" s="754"/>
      <c r="Z223" s="754"/>
      <c r="AA223" s="754"/>
    </row>
    <row r="224" spans="2:27" s="755" customFormat="1" x14ac:dyDescent="0.2">
      <c r="B224" s="923" t="s">
        <v>656</v>
      </c>
      <c r="C224" s="3008"/>
      <c r="D224" s="3056"/>
      <c r="E224" s="3056"/>
      <c r="F224" s="3009"/>
      <c r="G224" s="860">
        <f t="shared" si="68"/>
        <v>0</v>
      </c>
      <c r="H224" s="977">
        <f t="shared" si="69"/>
        <v>0</v>
      </c>
      <c r="I224" s="928">
        <f t="shared" si="67"/>
        <v>0</v>
      </c>
      <c r="J224" s="3057"/>
      <c r="K224" s="3058"/>
      <c r="L224" s="3058"/>
      <c r="M224" s="3058"/>
      <c r="N224" s="3058"/>
      <c r="O224" s="1513"/>
      <c r="P224" s="997"/>
      <c r="Q224" s="997"/>
      <c r="R224" s="997"/>
      <c r="S224" s="767"/>
      <c r="T224" s="767"/>
      <c r="U224" s="767"/>
      <c r="V224" s="767"/>
      <c r="W224" s="767"/>
      <c r="X224" s="754"/>
      <c r="Y224" s="754"/>
      <c r="Z224" s="754"/>
      <c r="AA224" s="754"/>
    </row>
    <row r="225" spans="2:27" s="755" customFormat="1" x14ac:dyDescent="0.2">
      <c r="B225" s="923" t="s">
        <v>657</v>
      </c>
      <c r="C225" s="3008"/>
      <c r="D225" s="3056"/>
      <c r="E225" s="3056"/>
      <c r="F225" s="3009"/>
      <c r="G225" s="860">
        <f t="shared" si="68"/>
        <v>0</v>
      </c>
      <c r="H225" s="977">
        <f t="shared" si="69"/>
        <v>0</v>
      </c>
      <c r="I225" s="928">
        <f t="shared" si="67"/>
        <v>0</v>
      </c>
      <c r="J225" s="3057"/>
      <c r="K225" s="3058"/>
      <c r="L225" s="3058"/>
      <c r="M225" s="3058"/>
      <c r="N225" s="3058"/>
      <c r="O225" s="1513"/>
      <c r="P225" s="997"/>
      <c r="Q225" s="997"/>
      <c r="R225" s="997"/>
      <c r="S225" s="767"/>
      <c r="T225" s="767"/>
      <c r="U225" s="767"/>
      <c r="V225" s="767"/>
      <c r="W225" s="767"/>
      <c r="X225" s="754"/>
      <c r="Y225" s="754"/>
      <c r="Z225" s="754"/>
      <c r="AA225" s="754"/>
    </row>
    <row r="226" spans="2:27" s="755" customFormat="1" x14ac:dyDescent="0.2">
      <c r="B226" s="923" t="s">
        <v>658</v>
      </c>
      <c r="C226" s="3008"/>
      <c r="D226" s="3056"/>
      <c r="E226" s="3056"/>
      <c r="F226" s="3009"/>
      <c r="G226" s="860">
        <f t="shared" si="68"/>
        <v>0</v>
      </c>
      <c r="H226" s="977">
        <f t="shared" si="69"/>
        <v>0</v>
      </c>
      <c r="I226" s="928">
        <f t="shared" si="67"/>
        <v>0</v>
      </c>
      <c r="J226" s="3057"/>
      <c r="K226" s="3058"/>
      <c r="L226" s="3058"/>
      <c r="M226" s="3058"/>
      <c r="N226" s="3058"/>
      <c r="O226" s="1513"/>
      <c r="P226" s="997"/>
      <c r="Q226" s="997"/>
      <c r="R226" s="997"/>
      <c r="S226" s="767"/>
      <c r="T226" s="767"/>
      <c r="U226" s="767"/>
      <c r="V226" s="767"/>
      <c r="W226" s="767"/>
      <c r="X226" s="754"/>
      <c r="Y226" s="754"/>
      <c r="Z226" s="754"/>
      <c r="AA226" s="754"/>
    </row>
    <row r="227" spans="2:27" s="755" customFormat="1" x14ac:dyDescent="0.2">
      <c r="B227" s="923" t="s">
        <v>659</v>
      </c>
      <c r="C227" s="3008"/>
      <c r="D227" s="3056"/>
      <c r="E227" s="3056"/>
      <c r="F227" s="3009"/>
      <c r="G227" s="860">
        <f t="shared" si="68"/>
        <v>0</v>
      </c>
      <c r="H227" s="977">
        <f t="shared" si="69"/>
        <v>0</v>
      </c>
      <c r="I227" s="928">
        <f t="shared" si="67"/>
        <v>0</v>
      </c>
      <c r="J227" s="3057"/>
      <c r="K227" s="3058"/>
      <c r="L227" s="3058"/>
      <c r="M227" s="3058"/>
      <c r="N227" s="3058"/>
      <c r="O227" s="1513"/>
      <c r="P227" s="997"/>
      <c r="Q227" s="997"/>
      <c r="R227" s="997"/>
      <c r="S227" s="767"/>
      <c r="T227" s="767"/>
      <c r="U227" s="767"/>
      <c r="V227" s="767"/>
      <c r="W227" s="767"/>
      <c r="X227" s="754"/>
      <c r="Y227" s="754"/>
      <c r="Z227" s="754"/>
      <c r="AA227" s="754"/>
    </row>
    <row r="228" spans="2:27" s="755" customFormat="1" x14ac:dyDescent="0.2">
      <c r="B228" s="923" t="s">
        <v>660</v>
      </c>
      <c r="C228" s="3008"/>
      <c r="D228" s="3056"/>
      <c r="E228" s="3056"/>
      <c r="F228" s="3009"/>
      <c r="G228" s="860">
        <f t="shared" si="68"/>
        <v>0</v>
      </c>
      <c r="H228" s="977">
        <f t="shared" si="69"/>
        <v>0</v>
      </c>
      <c r="I228" s="928">
        <f t="shared" si="67"/>
        <v>0</v>
      </c>
      <c r="J228" s="3057"/>
      <c r="K228" s="3058"/>
      <c r="L228" s="3058"/>
      <c r="M228" s="3058"/>
      <c r="N228" s="3058"/>
      <c r="O228" s="1513"/>
      <c r="P228" s="997"/>
      <c r="Q228" s="997"/>
      <c r="R228" s="997"/>
      <c r="S228" s="767"/>
      <c r="T228" s="767"/>
      <c r="U228" s="767"/>
      <c r="V228" s="767"/>
      <c r="W228" s="767"/>
      <c r="X228" s="754"/>
      <c r="Y228" s="754"/>
      <c r="Z228" s="754"/>
      <c r="AA228" s="754"/>
    </row>
    <row r="229" spans="2:27" s="755" customFormat="1" ht="21" customHeight="1" x14ac:dyDescent="0.2">
      <c r="B229" s="931"/>
      <c r="C229" s="932"/>
      <c r="D229" s="932"/>
      <c r="E229" s="933"/>
      <c r="F229" s="934"/>
      <c r="G229" s="935" t="s">
        <v>683</v>
      </c>
      <c r="H229" s="936">
        <f>SUM(H209:H228)</f>
        <v>0</v>
      </c>
      <c r="I229" s="937">
        <f>SUM(I209:I228)</f>
        <v>0</v>
      </c>
      <c r="J229" s="938"/>
      <c r="K229" s="998"/>
      <c r="L229" s="998"/>
      <c r="M229" s="1182"/>
      <c r="N229" s="1182"/>
      <c r="O229" s="944">
        <f>COUNTIF(S209:S228,"3")</f>
        <v>0</v>
      </c>
      <c r="P229" s="999"/>
      <c r="Q229" s="999"/>
      <c r="R229" s="999"/>
      <c r="S229" s="767"/>
      <c r="T229" s="767"/>
      <c r="U229" s="767"/>
      <c r="V229" s="767"/>
      <c r="W229" s="735"/>
      <c r="X229" s="754"/>
      <c r="Y229" s="754"/>
      <c r="Z229" s="754"/>
      <c r="AA229" s="754"/>
    </row>
    <row r="230" spans="2:27" s="842" customFormat="1" ht="12.75" customHeight="1" x14ac:dyDescent="0.2">
      <c r="B230" s="965"/>
      <c r="C230" s="836"/>
      <c r="D230" s="836"/>
      <c r="E230" s="836"/>
      <c r="F230" s="836"/>
      <c r="G230" s="986"/>
      <c r="H230" s="967"/>
      <c r="I230" s="1000"/>
      <c r="J230" s="981"/>
      <c r="K230" s="981"/>
      <c r="L230" s="981"/>
      <c r="M230" s="872"/>
      <c r="N230" s="872"/>
      <c r="O230" s="2084">
        <f>O202+O175+O148+O121</f>
        <v>0</v>
      </c>
      <c r="P230" s="2084"/>
      <c r="Q230" s="2084"/>
      <c r="R230" s="2084"/>
      <c r="S230" s="767"/>
      <c r="T230" s="767"/>
      <c r="U230" s="767"/>
      <c r="V230" s="767"/>
      <c r="W230" s="840"/>
      <c r="X230" s="840"/>
      <c r="Y230" s="840"/>
      <c r="Z230" s="840"/>
      <c r="AA230" s="840"/>
    </row>
    <row r="231" spans="2:27" s="725" customFormat="1" ht="21" customHeight="1" x14ac:dyDescent="0.2">
      <c r="B231" s="1001" t="s">
        <v>684</v>
      </c>
      <c r="C231" s="971"/>
      <c r="D231" s="971"/>
      <c r="E231" s="971"/>
      <c r="F231" s="971"/>
      <c r="G231" s="971"/>
      <c r="H231" s="971"/>
      <c r="I231" s="1002"/>
      <c r="J231" s="3042" t="s">
        <v>663</v>
      </c>
      <c r="K231" s="3043"/>
      <c r="L231" s="3043"/>
      <c r="M231" s="3043"/>
      <c r="N231" s="3043"/>
      <c r="O231" s="3043"/>
      <c r="P231" s="3043"/>
      <c r="Q231" s="3043"/>
      <c r="R231" s="3044"/>
      <c r="S231" s="767"/>
      <c r="T231" s="767"/>
      <c r="U231" s="767"/>
      <c r="V231" s="767"/>
      <c r="W231" s="723"/>
      <c r="X231" s="723"/>
      <c r="Y231" s="723"/>
      <c r="Z231" s="723"/>
      <c r="AA231" s="723"/>
    </row>
    <row r="232" spans="2:27" s="755" customFormat="1" ht="12.75" customHeight="1" x14ac:dyDescent="0.2">
      <c r="B232" s="891"/>
      <c r="C232" s="3030" t="s">
        <v>685</v>
      </c>
      <c r="D232" s="3032"/>
      <c r="E232" s="1003" t="s">
        <v>665</v>
      </c>
      <c r="F232" s="892" t="s">
        <v>666</v>
      </c>
      <c r="G232" s="893" t="s">
        <v>623</v>
      </c>
      <c r="H232" s="729" t="s">
        <v>443</v>
      </c>
      <c r="I232" s="1004" t="s">
        <v>443</v>
      </c>
      <c r="J232" s="3045" t="s">
        <v>624</v>
      </c>
      <c r="K232" s="3046"/>
      <c r="L232" s="2985" t="s">
        <v>676</v>
      </c>
      <c r="M232" s="2986"/>
      <c r="N232" s="2987"/>
      <c r="O232" s="892" t="s">
        <v>677</v>
      </c>
      <c r="P232" s="3047" t="s">
        <v>627</v>
      </c>
      <c r="Q232" s="3047"/>
      <c r="R232" s="3048"/>
      <c r="S232" s="767"/>
      <c r="T232" s="767"/>
      <c r="U232" s="767"/>
      <c r="V232" s="767"/>
      <c r="W232" s="754"/>
      <c r="X232" s="754"/>
      <c r="Y232" s="754"/>
      <c r="Z232" s="754"/>
      <c r="AA232" s="754"/>
    </row>
    <row r="233" spans="2:27" s="902" customFormat="1" x14ac:dyDescent="0.2">
      <c r="B233" s="894"/>
      <c r="C233" s="947"/>
      <c r="D233" s="898"/>
      <c r="E233" s="950" t="s">
        <v>669</v>
      </c>
      <c r="F233" s="898" t="s">
        <v>670</v>
      </c>
      <c r="G233" s="853"/>
      <c r="H233" s="853" t="s">
        <v>445</v>
      </c>
      <c r="I233" s="854" t="s">
        <v>315</v>
      </c>
      <c r="J233" s="3049"/>
      <c r="K233" s="3050"/>
      <c r="L233" s="3052" t="s">
        <v>630</v>
      </c>
      <c r="M233" s="2990"/>
      <c r="N233" s="3053"/>
      <c r="O233" s="975" t="s">
        <v>1018</v>
      </c>
      <c r="P233" s="727" t="s">
        <v>632</v>
      </c>
      <c r="Q233" s="727" t="s">
        <v>633</v>
      </c>
      <c r="R233" s="899" t="s">
        <v>634</v>
      </c>
      <c r="S233" s="767"/>
      <c r="T233" s="767"/>
      <c r="U233" s="767"/>
      <c r="V233" s="767"/>
      <c r="W233" s="900"/>
      <c r="X233" s="900"/>
      <c r="Y233" s="900"/>
      <c r="Z233" s="900"/>
      <c r="AA233" s="900"/>
    </row>
    <row r="234" spans="2:27" s="747" customFormat="1" ht="12.75" customHeight="1" x14ac:dyDescent="0.2">
      <c r="B234" s="737"/>
      <c r="C234" s="738"/>
      <c r="D234" s="905"/>
      <c r="E234" s="1005" t="s">
        <v>629</v>
      </c>
      <c r="F234" s="905" t="s">
        <v>629</v>
      </c>
      <c r="G234" s="739"/>
      <c r="H234" s="906"/>
      <c r="I234" s="859"/>
      <c r="J234" s="907"/>
      <c r="K234" s="908"/>
      <c r="L234" s="909"/>
      <c r="M234" s="2991"/>
      <c r="N234" s="3051"/>
      <c r="O234" s="908"/>
      <c r="P234" s="739"/>
      <c r="Q234" s="739" t="s">
        <v>635</v>
      </c>
      <c r="R234" s="911" t="s">
        <v>636</v>
      </c>
      <c r="S234" s="767"/>
      <c r="T234" s="767"/>
      <c r="U234" s="767"/>
      <c r="V234" s="767"/>
      <c r="W234" s="745"/>
      <c r="X234" s="745"/>
      <c r="Y234" s="745"/>
      <c r="Z234" s="745"/>
      <c r="AA234" s="745"/>
    </row>
    <row r="235" spans="2:27" s="957" customFormat="1" ht="14.25" customHeight="1" x14ac:dyDescent="0.2">
      <c r="B235" s="951" t="s">
        <v>450</v>
      </c>
      <c r="C235" s="3038" t="s">
        <v>671</v>
      </c>
      <c r="D235" s="3039"/>
      <c r="E235" s="953" t="s">
        <v>175</v>
      </c>
      <c r="F235" s="952" t="s">
        <v>173</v>
      </c>
      <c r="G235" s="953">
        <f>IF(OR(E235="",F235=""),0,IF(AND(E235="สิทธิบัตร",F235="ระดับชาติ"),112.5,IF(AND(E235="อนุสิทธิบัตร",F235="ระดับชาติ"),34.5,IF(AND(E235="สิทธิบัตร",F235="ระดับนานาชาติ"),225,IF(AND(E235="อนุสิทธิบัตร",F235="ระดับนานาชาติ"),67.5,0)))))</f>
        <v>67.5</v>
      </c>
      <c r="H235" s="954">
        <f>IF(C235&lt;&gt;"",G235,0)</f>
        <v>67.5</v>
      </c>
      <c r="I235" s="955">
        <f t="shared" ref="I235:I255" si="70">H235/15</f>
        <v>4.5</v>
      </c>
      <c r="J235" s="3040" t="str">
        <f>IF(E235="อนุสิทธิบัตร","0.4 ผลงานที่ได้รับการจดอนุสิทธิบัตร",IF(E235="สิทธิบัตร","1.0 ผลงานได้รับการจดสิทธิบัตร",""))</f>
        <v>0.4 ผลงานที่ได้รับการจดอนุสิทธิบัตร</v>
      </c>
      <c r="K235" s="3041"/>
      <c r="L235" s="3054" t="s">
        <v>638</v>
      </c>
      <c r="M235" s="2993"/>
      <c r="N235" s="3055"/>
      <c r="O235" s="1506">
        <v>240817</v>
      </c>
      <c r="P235" s="917" t="s">
        <v>172</v>
      </c>
      <c r="Q235" s="917" t="s">
        <v>172</v>
      </c>
      <c r="R235" s="918"/>
      <c r="S235" s="767"/>
      <c r="T235" s="767"/>
      <c r="U235" s="767"/>
      <c r="V235" s="767"/>
      <c r="W235" s="921" t="s">
        <v>639</v>
      </c>
      <c r="X235" s="921" t="s">
        <v>640</v>
      </c>
      <c r="Y235" s="956"/>
      <c r="Z235" s="956"/>
      <c r="AA235" s="956"/>
    </row>
    <row r="236" spans="2:27" s="755" customFormat="1" x14ac:dyDescent="0.2">
      <c r="B236" s="958" t="s">
        <v>641</v>
      </c>
      <c r="C236" s="3008"/>
      <c r="D236" s="3009"/>
      <c r="E236" s="1006"/>
      <c r="F236" s="927"/>
      <c r="G236" s="959">
        <f>IF(OR(E236="",F236=""),0,IF(AND(E236="สิทธิบัตร",F236="ระดับชาติ"),112.5,IF(AND(E236="อนุสิทธิบัตร",F236="ระดับชาติ"),34.5,IF(AND(E236="สิทธิบัตร",F236="ระดับนานาชาติ"),225,IF(AND(E236="อนุสิทธิบัตร",F236="ระดับนานาชาติ"),67.5,0)))))</f>
        <v>0</v>
      </c>
      <c r="H236" s="1007">
        <f>IF(C236&lt;&gt;"",G236,0)</f>
        <v>0</v>
      </c>
      <c r="I236" s="1008">
        <f t="shared" si="70"/>
        <v>0</v>
      </c>
      <c r="J236" s="3003" t="str">
        <f>IF(E236="อนุสิทธิบัตร","0.4 ผลงานที่ได้รับการจดอนุสิทธิบัตร",IF(E236="สิทธิบัตร","1.0 ผลงานได้รับการจดสิทธิบัตร",""))</f>
        <v/>
      </c>
      <c r="K236" s="3004"/>
      <c r="L236" s="2997"/>
      <c r="M236" s="2979"/>
      <c r="N236" s="2998"/>
      <c r="O236" s="1507"/>
      <c r="P236" s="925"/>
      <c r="Q236" s="925"/>
      <c r="R236" s="926"/>
      <c r="S236" s="767">
        <f>IF(AND(F236&lt;&gt;"",C236&lt;&gt;""),IF(AND(F236="ระดับชาติ",C236&lt;&gt;""),3,IF(AND(F236="ระดับนานาชาติ",C236&lt;&gt;""),5,0)),0)</f>
        <v>0</v>
      </c>
      <c r="T236" s="767" t="str">
        <f>IF(J236&lt;&gt;"",MID(J236,1,3),"")</f>
        <v/>
      </c>
      <c r="U236" s="767">
        <f>IF(S236&lt;&gt;0,IF(T236&lt;&gt;"",IF(OR(T236="0.2",T236="0.4",T236="0.6"),1,IF(T236="0.8",2,IF(T236="1.0",3,0))),0),0)</f>
        <v>0</v>
      </c>
      <c r="V236" s="767">
        <f>IF(O236="",0,IF(U236=1,IF(AND(O236&gt;=$S$21,O236&lt;=$T$21),1,0),IF(U236=2,IF(AND(O236&gt;=$S$21,O236&lt;=$T$21),1,0),IF(U236=3,IF(AND(O236&gt;=$S$21,O236&lt;=$T$21),1,0),0))))</f>
        <v>0</v>
      </c>
      <c r="W236" s="735">
        <v>0</v>
      </c>
      <c r="X236" s="735">
        <v>0</v>
      </c>
      <c r="Y236" s="754"/>
      <c r="Z236" s="754"/>
      <c r="AA236" s="754"/>
    </row>
    <row r="237" spans="2:27" s="755" customFormat="1" x14ac:dyDescent="0.2">
      <c r="B237" s="958" t="s">
        <v>642</v>
      </c>
      <c r="C237" s="3008"/>
      <c r="D237" s="3009"/>
      <c r="E237" s="1006"/>
      <c r="F237" s="927"/>
      <c r="G237" s="959">
        <f t="shared" ref="G237:G255" si="71">IF(OR(E237="",F237=""),0,IF(AND(E237="สิทธิบัตร",F237="ระดับชาติ"),112.5,IF(AND(E237="อนุสิทธิบัตร",F237="ระดับชาติ"),34.5,IF(AND(E237="สิทธิบัตร",F237="ระดับนานาชาติ"),225,IF(AND(E237="อนุสิทธิบัตร",F237="ระดับนานาชาติ"),67.5,0)))))</f>
        <v>0</v>
      </c>
      <c r="H237" s="1007">
        <f t="shared" ref="H237:H255" si="72">IF(C237&lt;&gt;"",G237,0)</f>
        <v>0</v>
      </c>
      <c r="I237" s="1008">
        <f t="shared" si="70"/>
        <v>0</v>
      </c>
      <c r="J237" s="3003" t="str">
        <f t="shared" ref="J237:J255" si="73">IF(E237="อนุสิทธิบัตร","0.4 ผลงานที่ได้รับการจดอนุสิทธิบัตร",IF(E237="สิทธิบัตร","1.0 ผลงานได้รับการจดสิทธิบัตร",""))</f>
        <v/>
      </c>
      <c r="K237" s="3004"/>
      <c r="L237" s="2997"/>
      <c r="M237" s="2979"/>
      <c r="N237" s="2998"/>
      <c r="O237" s="1507"/>
      <c r="P237" s="925"/>
      <c r="Q237" s="925"/>
      <c r="R237" s="926"/>
      <c r="S237" s="767">
        <f t="shared" ref="S237:S255" si="74">IF(AND(F237&lt;&gt;"",C237&lt;&gt;""),IF(AND(F237="ระดับชาติ",C237&lt;&gt;""),3,IF(AND(F237="ระดับนานาชาติ",C237&lt;&gt;""),5,0)),0)</f>
        <v>0</v>
      </c>
      <c r="T237" s="767" t="str">
        <f t="shared" ref="T237:T255" si="75">IF(J237&lt;&gt;"",MID(J237,1,3),"")</f>
        <v/>
      </c>
      <c r="U237" s="767">
        <f t="shared" ref="U237:U255" si="76">IF(S237&lt;&gt;0,IF(T237&lt;&gt;"",IF(OR(T237="0.2",T237="0.4",T237="0.6"),1,IF(T237="0.8",2,IF(T237="1.0",3,0))),0),0)</f>
        <v>0</v>
      </c>
      <c r="V237" s="767">
        <f t="shared" ref="V237:V255" si="77">IF(O237="",0,IF(U237=1,IF(AND(O237&gt;=$S$21,O237&lt;=$T$21),1,0),IF(U237=2,IF(AND(O237&gt;=$S$21,O237&lt;=$T$21),1,0),IF(U237=3,IF(AND(O237&gt;=$S$21,O237&lt;=$T$21),1,0),0))))</f>
        <v>0</v>
      </c>
      <c r="W237" s="735">
        <v>0</v>
      </c>
      <c r="X237" s="735">
        <v>0</v>
      </c>
      <c r="Y237" s="754"/>
      <c r="Z237" s="754"/>
      <c r="AA237" s="754"/>
    </row>
    <row r="238" spans="2:27" s="755" customFormat="1" x14ac:dyDescent="0.2">
      <c r="B238" s="958" t="s">
        <v>643</v>
      </c>
      <c r="C238" s="3008"/>
      <c r="D238" s="3009"/>
      <c r="E238" s="1006"/>
      <c r="F238" s="927"/>
      <c r="G238" s="959">
        <f t="shared" si="71"/>
        <v>0</v>
      </c>
      <c r="H238" s="1007">
        <f t="shared" si="72"/>
        <v>0</v>
      </c>
      <c r="I238" s="1008">
        <f t="shared" si="70"/>
        <v>0</v>
      </c>
      <c r="J238" s="3003" t="str">
        <f t="shared" si="73"/>
        <v/>
      </c>
      <c r="K238" s="3004"/>
      <c r="L238" s="2997"/>
      <c r="M238" s="2979"/>
      <c r="N238" s="2998"/>
      <c r="O238" s="1507"/>
      <c r="P238" s="925"/>
      <c r="Q238" s="925"/>
      <c r="R238" s="926"/>
      <c r="S238" s="767">
        <f t="shared" si="74"/>
        <v>0</v>
      </c>
      <c r="T238" s="767" t="str">
        <f t="shared" si="75"/>
        <v/>
      </c>
      <c r="U238" s="767">
        <f t="shared" si="76"/>
        <v>0</v>
      </c>
      <c r="V238" s="767">
        <f t="shared" si="77"/>
        <v>0</v>
      </c>
      <c r="W238" s="735">
        <v>0</v>
      </c>
      <c r="X238" s="735">
        <v>0</v>
      </c>
      <c r="Y238" s="754"/>
      <c r="Z238" s="754"/>
      <c r="AA238" s="754"/>
    </row>
    <row r="239" spans="2:27" s="755" customFormat="1" x14ac:dyDescent="0.2">
      <c r="B239" s="958" t="s">
        <v>644</v>
      </c>
      <c r="C239" s="3008"/>
      <c r="D239" s="3009"/>
      <c r="E239" s="1006"/>
      <c r="F239" s="927"/>
      <c r="G239" s="959">
        <f t="shared" si="71"/>
        <v>0</v>
      </c>
      <c r="H239" s="1007">
        <f t="shared" si="72"/>
        <v>0</v>
      </c>
      <c r="I239" s="1008">
        <f t="shared" si="70"/>
        <v>0</v>
      </c>
      <c r="J239" s="3003" t="str">
        <f t="shared" si="73"/>
        <v/>
      </c>
      <c r="K239" s="3004"/>
      <c r="L239" s="2997"/>
      <c r="M239" s="2979"/>
      <c r="N239" s="2998"/>
      <c r="O239" s="1507"/>
      <c r="P239" s="925"/>
      <c r="Q239" s="925"/>
      <c r="R239" s="926"/>
      <c r="S239" s="767">
        <f t="shared" si="74"/>
        <v>0</v>
      </c>
      <c r="T239" s="767" t="str">
        <f t="shared" si="75"/>
        <v/>
      </c>
      <c r="U239" s="767">
        <f t="shared" si="76"/>
        <v>0</v>
      </c>
      <c r="V239" s="767">
        <f t="shared" si="77"/>
        <v>0</v>
      </c>
      <c r="W239" s="735">
        <v>0</v>
      </c>
      <c r="X239" s="735">
        <v>0</v>
      </c>
      <c r="Y239" s="754"/>
      <c r="Z239" s="754"/>
      <c r="AA239" s="754"/>
    </row>
    <row r="240" spans="2:27" s="755" customFormat="1" x14ac:dyDescent="0.2">
      <c r="B240" s="958" t="s">
        <v>645</v>
      </c>
      <c r="C240" s="3008"/>
      <c r="D240" s="3009"/>
      <c r="E240" s="1006"/>
      <c r="F240" s="927"/>
      <c r="G240" s="959">
        <f t="shared" si="71"/>
        <v>0</v>
      </c>
      <c r="H240" s="1007">
        <f t="shared" si="72"/>
        <v>0</v>
      </c>
      <c r="I240" s="1008">
        <f t="shared" si="70"/>
        <v>0</v>
      </c>
      <c r="J240" s="3003" t="str">
        <f t="shared" si="73"/>
        <v/>
      </c>
      <c r="K240" s="3004"/>
      <c r="L240" s="2997"/>
      <c r="M240" s="2979"/>
      <c r="N240" s="2998"/>
      <c r="O240" s="1507"/>
      <c r="P240" s="925"/>
      <c r="Q240" s="925"/>
      <c r="R240" s="926"/>
      <c r="S240" s="767">
        <f t="shared" si="74"/>
        <v>0</v>
      </c>
      <c r="T240" s="767" t="str">
        <f t="shared" si="75"/>
        <v/>
      </c>
      <c r="U240" s="767">
        <f t="shared" si="76"/>
        <v>0</v>
      </c>
      <c r="V240" s="767">
        <f t="shared" si="77"/>
        <v>0</v>
      </c>
      <c r="W240" s="735">
        <v>0</v>
      </c>
      <c r="X240" s="735">
        <v>0</v>
      </c>
      <c r="Y240" s="754"/>
      <c r="Z240" s="754"/>
      <c r="AA240" s="754"/>
    </row>
    <row r="241" spans="2:27" s="755" customFormat="1" x14ac:dyDescent="0.2">
      <c r="B241" s="958" t="s">
        <v>646</v>
      </c>
      <c r="C241" s="3008"/>
      <c r="D241" s="3009"/>
      <c r="E241" s="1006"/>
      <c r="F241" s="927"/>
      <c r="G241" s="959">
        <f t="shared" si="71"/>
        <v>0</v>
      </c>
      <c r="H241" s="1007">
        <f t="shared" si="72"/>
        <v>0</v>
      </c>
      <c r="I241" s="1008">
        <f t="shared" si="70"/>
        <v>0</v>
      </c>
      <c r="J241" s="3003" t="str">
        <f t="shared" si="73"/>
        <v/>
      </c>
      <c r="K241" s="3004"/>
      <c r="L241" s="2997"/>
      <c r="M241" s="2979"/>
      <c r="N241" s="2998"/>
      <c r="O241" s="1507"/>
      <c r="P241" s="925"/>
      <c r="Q241" s="925"/>
      <c r="R241" s="926"/>
      <c r="S241" s="767">
        <f t="shared" si="74"/>
        <v>0</v>
      </c>
      <c r="T241" s="767" t="str">
        <f t="shared" si="75"/>
        <v/>
      </c>
      <c r="U241" s="767">
        <f t="shared" si="76"/>
        <v>0</v>
      </c>
      <c r="V241" s="767">
        <f t="shared" si="77"/>
        <v>0</v>
      </c>
      <c r="W241" s="735">
        <v>0</v>
      </c>
      <c r="X241" s="735">
        <v>0</v>
      </c>
      <c r="Y241" s="754"/>
      <c r="Z241" s="754"/>
      <c r="AA241" s="754"/>
    </row>
    <row r="242" spans="2:27" s="755" customFormat="1" x14ac:dyDescent="0.2">
      <c r="B242" s="958" t="s">
        <v>647</v>
      </c>
      <c r="C242" s="3008"/>
      <c r="D242" s="3009"/>
      <c r="E242" s="1006"/>
      <c r="F242" s="927"/>
      <c r="G242" s="959">
        <f t="shared" si="71"/>
        <v>0</v>
      </c>
      <c r="H242" s="1007">
        <f t="shared" si="72"/>
        <v>0</v>
      </c>
      <c r="I242" s="1008">
        <f t="shared" si="70"/>
        <v>0</v>
      </c>
      <c r="J242" s="3003" t="str">
        <f t="shared" si="73"/>
        <v/>
      </c>
      <c r="K242" s="3004"/>
      <c r="L242" s="2997"/>
      <c r="M242" s="2979"/>
      <c r="N242" s="2998"/>
      <c r="O242" s="1507"/>
      <c r="P242" s="925"/>
      <c r="Q242" s="925"/>
      <c r="R242" s="926"/>
      <c r="S242" s="767">
        <f t="shared" si="74"/>
        <v>0</v>
      </c>
      <c r="T242" s="767" t="str">
        <f t="shared" si="75"/>
        <v/>
      </c>
      <c r="U242" s="767">
        <f t="shared" si="76"/>
        <v>0</v>
      </c>
      <c r="V242" s="767">
        <f t="shared" si="77"/>
        <v>0</v>
      </c>
      <c r="W242" s="735">
        <v>0</v>
      </c>
      <c r="X242" s="735">
        <v>0</v>
      </c>
      <c r="Y242" s="754"/>
      <c r="Z242" s="754"/>
      <c r="AA242" s="754"/>
    </row>
    <row r="243" spans="2:27" s="755" customFormat="1" x14ac:dyDescent="0.2">
      <c r="B243" s="958" t="s">
        <v>648</v>
      </c>
      <c r="C243" s="3008"/>
      <c r="D243" s="3009"/>
      <c r="E243" s="1006"/>
      <c r="F243" s="927"/>
      <c r="G243" s="959">
        <f t="shared" si="71"/>
        <v>0</v>
      </c>
      <c r="H243" s="1007">
        <f t="shared" si="72"/>
        <v>0</v>
      </c>
      <c r="I243" s="1008">
        <f t="shared" si="70"/>
        <v>0</v>
      </c>
      <c r="J243" s="3003" t="str">
        <f t="shared" si="73"/>
        <v/>
      </c>
      <c r="K243" s="3004"/>
      <c r="L243" s="2997"/>
      <c r="M243" s="2979"/>
      <c r="N243" s="2998"/>
      <c r="O243" s="1507"/>
      <c r="P243" s="925"/>
      <c r="Q243" s="925"/>
      <c r="R243" s="926"/>
      <c r="S243" s="767">
        <f t="shared" si="74"/>
        <v>0</v>
      </c>
      <c r="T243" s="767" t="str">
        <f t="shared" si="75"/>
        <v/>
      </c>
      <c r="U243" s="767">
        <f t="shared" si="76"/>
        <v>0</v>
      </c>
      <c r="V243" s="767">
        <f t="shared" si="77"/>
        <v>0</v>
      </c>
      <c r="W243" s="735">
        <v>0</v>
      </c>
      <c r="X243" s="735">
        <v>0</v>
      </c>
      <c r="Y243" s="754"/>
      <c r="Z243" s="754"/>
      <c r="AA243" s="754"/>
    </row>
    <row r="244" spans="2:27" s="755" customFormat="1" x14ac:dyDescent="0.2">
      <c r="B244" s="958" t="s">
        <v>649</v>
      </c>
      <c r="C244" s="3008"/>
      <c r="D244" s="3009"/>
      <c r="E244" s="1006"/>
      <c r="F244" s="927"/>
      <c r="G244" s="959">
        <f t="shared" si="71"/>
        <v>0</v>
      </c>
      <c r="H244" s="1007">
        <f t="shared" si="72"/>
        <v>0</v>
      </c>
      <c r="I244" s="1008">
        <f t="shared" si="70"/>
        <v>0</v>
      </c>
      <c r="J244" s="3003" t="str">
        <f t="shared" si="73"/>
        <v/>
      </c>
      <c r="K244" s="3004"/>
      <c r="L244" s="2997"/>
      <c r="M244" s="2979"/>
      <c r="N244" s="2998"/>
      <c r="O244" s="1507"/>
      <c r="P244" s="925"/>
      <c r="Q244" s="925"/>
      <c r="R244" s="926"/>
      <c r="S244" s="767">
        <f t="shared" si="74"/>
        <v>0</v>
      </c>
      <c r="T244" s="767" t="str">
        <f>IF(J244&lt;&gt;"",MID(J244,1,3),"")</f>
        <v/>
      </c>
      <c r="U244" s="767">
        <f t="shared" si="76"/>
        <v>0</v>
      </c>
      <c r="V244" s="767">
        <f t="shared" si="77"/>
        <v>0</v>
      </c>
      <c r="W244" s="735">
        <v>0</v>
      </c>
      <c r="X244" s="735">
        <v>0</v>
      </c>
      <c r="Y244" s="754"/>
      <c r="Z244" s="754"/>
      <c r="AA244" s="754"/>
    </row>
    <row r="245" spans="2:27" s="755" customFormat="1" x14ac:dyDescent="0.2">
      <c r="B245" s="958" t="s">
        <v>650</v>
      </c>
      <c r="C245" s="3008"/>
      <c r="D245" s="3009"/>
      <c r="E245" s="1006"/>
      <c r="F245" s="927"/>
      <c r="G245" s="959">
        <f t="shared" si="71"/>
        <v>0</v>
      </c>
      <c r="H245" s="1007">
        <f t="shared" si="72"/>
        <v>0</v>
      </c>
      <c r="I245" s="1008">
        <f t="shared" si="70"/>
        <v>0</v>
      </c>
      <c r="J245" s="3003" t="str">
        <f t="shared" si="73"/>
        <v/>
      </c>
      <c r="K245" s="3004"/>
      <c r="L245" s="2997"/>
      <c r="M245" s="2979"/>
      <c r="N245" s="2998"/>
      <c r="O245" s="1507"/>
      <c r="P245" s="925"/>
      <c r="Q245" s="925"/>
      <c r="R245" s="926"/>
      <c r="S245" s="767">
        <f t="shared" si="74"/>
        <v>0</v>
      </c>
      <c r="T245" s="767" t="str">
        <f t="shared" si="75"/>
        <v/>
      </c>
      <c r="U245" s="767">
        <f t="shared" si="76"/>
        <v>0</v>
      </c>
      <c r="V245" s="767">
        <f t="shared" si="77"/>
        <v>0</v>
      </c>
      <c r="W245" s="735">
        <v>0</v>
      </c>
      <c r="X245" s="735">
        <v>0</v>
      </c>
      <c r="Y245" s="754"/>
      <c r="Z245" s="754"/>
      <c r="AA245" s="754"/>
    </row>
    <row r="246" spans="2:27" s="755" customFormat="1" x14ac:dyDescent="0.2">
      <c r="B246" s="958" t="s">
        <v>651</v>
      </c>
      <c r="C246" s="3008"/>
      <c r="D246" s="3009"/>
      <c r="E246" s="1009"/>
      <c r="F246" s="961"/>
      <c r="G246" s="959">
        <f t="shared" si="71"/>
        <v>0</v>
      </c>
      <c r="H246" s="1007">
        <f t="shared" si="72"/>
        <v>0</v>
      </c>
      <c r="I246" s="1008">
        <f t="shared" si="70"/>
        <v>0</v>
      </c>
      <c r="J246" s="3003" t="str">
        <f t="shared" si="73"/>
        <v/>
      </c>
      <c r="K246" s="3004"/>
      <c r="L246" s="2997"/>
      <c r="M246" s="2979"/>
      <c r="N246" s="2998"/>
      <c r="O246" s="1508"/>
      <c r="P246" s="929"/>
      <c r="Q246" s="929"/>
      <c r="R246" s="930"/>
      <c r="S246" s="767">
        <f t="shared" si="74"/>
        <v>0</v>
      </c>
      <c r="T246" s="767" t="str">
        <f t="shared" si="75"/>
        <v/>
      </c>
      <c r="U246" s="767">
        <f t="shared" si="76"/>
        <v>0</v>
      </c>
      <c r="V246" s="767">
        <f t="shared" si="77"/>
        <v>0</v>
      </c>
      <c r="W246" s="735">
        <v>0</v>
      </c>
      <c r="X246" s="735">
        <v>0</v>
      </c>
      <c r="Y246" s="754"/>
      <c r="Z246" s="754"/>
      <c r="AA246" s="754"/>
    </row>
    <row r="247" spans="2:27" s="755" customFormat="1" x14ac:dyDescent="0.2">
      <c r="B247" s="958" t="s">
        <v>652</v>
      </c>
      <c r="C247" s="3008"/>
      <c r="D247" s="3009"/>
      <c r="E247" s="1009"/>
      <c r="F247" s="961"/>
      <c r="G247" s="959">
        <f t="shared" si="71"/>
        <v>0</v>
      </c>
      <c r="H247" s="1007">
        <f t="shared" si="72"/>
        <v>0</v>
      </c>
      <c r="I247" s="1008">
        <f t="shared" si="70"/>
        <v>0</v>
      </c>
      <c r="J247" s="3003" t="str">
        <f t="shared" si="73"/>
        <v/>
      </c>
      <c r="K247" s="3004"/>
      <c r="L247" s="2997"/>
      <c r="M247" s="2979"/>
      <c r="N247" s="2998"/>
      <c r="O247" s="1508"/>
      <c r="P247" s="929"/>
      <c r="Q247" s="929"/>
      <c r="R247" s="930"/>
      <c r="S247" s="767">
        <f t="shared" si="74"/>
        <v>0</v>
      </c>
      <c r="T247" s="767" t="str">
        <f t="shared" si="75"/>
        <v/>
      </c>
      <c r="U247" s="767">
        <f t="shared" si="76"/>
        <v>0</v>
      </c>
      <c r="V247" s="767">
        <f t="shared" si="77"/>
        <v>0</v>
      </c>
      <c r="W247" s="735">
        <v>0</v>
      </c>
      <c r="X247" s="735">
        <v>0</v>
      </c>
      <c r="Y247" s="754"/>
      <c r="Z247" s="754"/>
      <c r="AA247" s="754"/>
    </row>
    <row r="248" spans="2:27" s="755" customFormat="1" x14ac:dyDescent="0.2">
      <c r="B248" s="958" t="s">
        <v>653</v>
      </c>
      <c r="C248" s="3008"/>
      <c r="D248" s="3009"/>
      <c r="E248" s="1009"/>
      <c r="F248" s="961"/>
      <c r="G248" s="959">
        <f t="shared" si="71"/>
        <v>0</v>
      </c>
      <c r="H248" s="1007">
        <f t="shared" si="72"/>
        <v>0</v>
      </c>
      <c r="I248" s="1008">
        <f t="shared" si="70"/>
        <v>0</v>
      </c>
      <c r="J248" s="3003" t="str">
        <f t="shared" si="73"/>
        <v/>
      </c>
      <c r="K248" s="3004"/>
      <c r="L248" s="2997"/>
      <c r="M248" s="2979"/>
      <c r="N248" s="2998"/>
      <c r="O248" s="1508"/>
      <c r="P248" s="929"/>
      <c r="Q248" s="929"/>
      <c r="R248" s="930"/>
      <c r="S248" s="767">
        <f t="shared" si="74"/>
        <v>0</v>
      </c>
      <c r="T248" s="767" t="str">
        <f t="shared" si="75"/>
        <v/>
      </c>
      <c r="U248" s="767">
        <f t="shared" si="76"/>
        <v>0</v>
      </c>
      <c r="V248" s="767">
        <f t="shared" si="77"/>
        <v>0</v>
      </c>
      <c r="W248" s="735">
        <v>0</v>
      </c>
      <c r="X248" s="735">
        <v>0</v>
      </c>
      <c r="Y248" s="754"/>
      <c r="Z248" s="754"/>
      <c r="AA248" s="754"/>
    </row>
    <row r="249" spans="2:27" s="755" customFormat="1" x14ac:dyDescent="0.2">
      <c r="B249" s="958" t="s">
        <v>654</v>
      </c>
      <c r="C249" s="3008"/>
      <c r="D249" s="3009"/>
      <c r="E249" s="1009"/>
      <c r="F249" s="961"/>
      <c r="G249" s="959">
        <f t="shared" si="71"/>
        <v>0</v>
      </c>
      <c r="H249" s="1007">
        <f t="shared" si="72"/>
        <v>0</v>
      </c>
      <c r="I249" s="1008">
        <f t="shared" si="70"/>
        <v>0</v>
      </c>
      <c r="J249" s="3003" t="str">
        <f t="shared" si="73"/>
        <v/>
      </c>
      <c r="K249" s="3004"/>
      <c r="L249" s="2997"/>
      <c r="M249" s="2979"/>
      <c r="N249" s="2998"/>
      <c r="O249" s="1508"/>
      <c r="P249" s="929"/>
      <c r="Q249" s="929"/>
      <c r="R249" s="930"/>
      <c r="S249" s="767">
        <f t="shared" si="74"/>
        <v>0</v>
      </c>
      <c r="T249" s="767" t="str">
        <f t="shared" si="75"/>
        <v/>
      </c>
      <c r="U249" s="767">
        <f t="shared" si="76"/>
        <v>0</v>
      </c>
      <c r="V249" s="767">
        <f t="shared" si="77"/>
        <v>0</v>
      </c>
      <c r="W249" s="735">
        <v>0</v>
      </c>
      <c r="X249" s="735">
        <v>0</v>
      </c>
      <c r="Y249" s="754"/>
      <c r="Z249" s="754"/>
      <c r="AA249" s="754"/>
    </row>
    <row r="250" spans="2:27" s="755" customFormat="1" x14ac:dyDescent="0.2">
      <c r="B250" s="958" t="s">
        <v>655</v>
      </c>
      <c r="C250" s="3008"/>
      <c r="D250" s="3009"/>
      <c r="E250" s="1009"/>
      <c r="F250" s="961"/>
      <c r="G250" s="959">
        <f t="shared" si="71"/>
        <v>0</v>
      </c>
      <c r="H250" s="1007">
        <f t="shared" si="72"/>
        <v>0</v>
      </c>
      <c r="I250" s="1008">
        <f t="shared" si="70"/>
        <v>0</v>
      </c>
      <c r="J250" s="3003" t="str">
        <f t="shared" si="73"/>
        <v/>
      </c>
      <c r="K250" s="3004"/>
      <c r="L250" s="2997"/>
      <c r="M250" s="2979"/>
      <c r="N250" s="2998"/>
      <c r="O250" s="1508"/>
      <c r="P250" s="929"/>
      <c r="Q250" s="929"/>
      <c r="R250" s="930"/>
      <c r="S250" s="767">
        <f t="shared" si="74"/>
        <v>0</v>
      </c>
      <c r="T250" s="767" t="str">
        <f t="shared" si="75"/>
        <v/>
      </c>
      <c r="U250" s="767">
        <f t="shared" si="76"/>
        <v>0</v>
      </c>
      <c r="V250" s="767">
        <f t="shared" si="77"/>
        <v>0</v>
      </c>
      <c r="W250" s="735">
        <v>0</v>
      </c>
      <c r="X250" s="735">
        <v>0</v>
      </c>
      <c r="Y250" s="754"/>
      <c r="Z250" s="754"/>
      <c r="AA250" s="754"/>
    </row>
    <row r="251" spans="2:27" s="755" customFormat="1" x14ac:dyDescent="0.2">
      <c r="B251" s="958" t="s">
        <v>656</v>
      </c>
      <c r="C251" s="3008"/>
      <c r="D251" s="3009"/>
      <c r="E251" s="1009"/>
      <c r="F251" s="961"/>
      <c r="G251" s="959">
        <f t="shared" si="71"/>
        <v>0</v>
      </c>
      <c r="H251" s="1007">
        <f t="shared" si="72"/>
        <v>0</v>
      </c>
      <c r="I251" s="1008">
        <f t="shared" si="70"/>
        <v>0</v>
      </c>
      <c r="J251" s="3003" t="str">
        <f t="shared" si="73"/>
        <v/>
      </c>
      <c r="K251" s="3004"/>
      <c r="L251" s="2997"/>
      <c r="M251" s="2979"/>
      <c r="N251" s="2998"/>
      <c r="O251" s="1508"/>
      <c r="P251" s="929"/>
      <c r="Q251" s="929"/>
      <c r="R251" s="930"/>
      <c r="S251" s="767">
        <f t="shared" si="74"/>
        <v>0</v>
      </c>
      <c r="T251" s="767" t="str">
        <f t="shared" si="75"/>
        <v/>
      </c>
      <c r="U251" s="767">
        <f t="shared" si="76"/>
        <v>0</v>
      </c>
      <c r="V251" s="767">
        <f t="shared" si="77"/>
        <v>0</v>
      </c>
      <c r="W251" s="735">
        <v>0</v>
      </c>
      <c r="X251" s="735">
        <v>0</v>
      </c>
      <c r="Y251" s="754"/>
      <c r="Z251" s="754"/>
      <c r="AA251" s="754"/>
    </row>
    <row r="252" spans="2:27" s="755" customFormat="1" x14ac:dyDescent="0.2">
      <c r="B252" s="958" t="s">
        <v>657</v>
      </c>
      <c r="C252" s="3008"/>
      <c r="D252" s="3009"/>
      <c r="E252" s="1009"/>
      <c r="F252" s="961"/>
      <c r="G252" s="959">
        <f t="shared" si="71"/>
        <v>0</v>
      </c>
      <c r="H252" s="1007">
        <f t="shared" si="72"/>
        <v>0</v>
      </c>
      <c r="I252" s="1008">
        <f t="shared" si="70"/>
        <v>0</v>
      </c>
      <c r="J252" s="3003" t="str">
        <f t="shared" si="73"/>
        <v/>
      </c>
      <c r="K252" s="3004"/>
      <c r="L252" s="2997"/>
      <c r="M252" s="2979"/>
      <c r="N252" s="2998"/>
      <c r="O252" s="1508"/>
      <c r="P252" s="929"/>
      <c r="Q252" s="929"/>
      <c r="R252" s="930"/>
      <c r="S252" s="767">
        <f t="shared" si="74"/>
        <v>0</v>
      </c>
      <c r="T252" s="767" t="str">
        <f t="shared" si="75"/>
        <v/>
      </c>
      <c r="U252" s="767">
        <f t="shared" si="76"/>
        <v>0</v>
      </c>
      <c r="V252" s="767">
        <f t="shared" si="77"/>
        <v>0</v>
      </c>
      <c r="W252" s="735">
        <v>0</v>
      </c>
      <c r="X252" s="735">
        <v>0</v>
      </c>
      <c r="Y252" s="754"/>
      <c r="Z252" s="754"/>
      <c r="AA252" s="754"/>
    </row>
    <row r="253" spans="2:27" s="755" customFormat="1" x14ac:dyDescent="0.2">
      <c r="B253" s="958" t="s">
        <v>658</v>
      </c>
      <c r="C253" s="3008"/>
      <c r="D253" s="3009"/>
      <c r="E253" s="1009"/>
      <c r="F253" s="961"/>
      <c r="G253" s="959">
        <f t="shared" si="71"/>
        <v>0</v>
      </c>
      <c r="H253" s="1007">
        <f t="shared" si="72"/>
        <v>0</v>
      </c>
      <c r="I253" s="1008">
        <f t="shared" si="70"/>
        <v>0</v>
      </c>
      <c r="J253" s="3003" t="str">
        <f t="shared" si="73"/>
        <v/>
      </c>
      <c r="K253" s="3004"/>
      <c r="L253" s="2997"/>
      <c r="M253" s="2979"/>
      <c r="N253" s="2998"/>
      <c r="O253" s="1508"/>
      <c r="P253" s="929"/>
      <c r="Q253" s="929"/>
      <c r="R253" s="930"/>
      <c r="S253" s="767">
        <f t="shared" si="74"/>
        <v>0</v>
      </c>
      <c r="T253" s="767" t="str">
        <f t="shared" si="75"/>
        <v/>
      </c>
      <c r="U253" s="767">
        <f t="shared" si="76"/>
        <v>0</v>
      </c>
      <c r="V253" s="767">
        <f t="shared" si="77"/>
        <v>0</v>
      </c>
      <c r="W253" s="735">
        <v>0</v>
      </c>
      <c r="X253" s="735">
        <v>0</v>
      </c>
      <c r="Y253" s="754"/>
      <c r="Z253" s="754"/>
      <c r="AA253" s="754"/>
    </row>
    <row r="254" spans="2:27" s="755" customFormat="1" x14ac:dyDescent="0.2">
      <c r="B254" s="958" t="s">
        <v>659</v>
      </c>
      <c r="C254" s="3008"/>
      <c r="D254" s="3009"/>
      <c r="E254" s="1009"/>
      <c r="F254" s="961"/>
      <c r="G254" s="959">
        <f t="shared" si="71"/>
        <v>0</v>
      </c>
      <c r="H254" s="1007">
        <f t="shared" si="72"/>
        <v>0</v>
      </c>
      <c r="I254" s="1008">
        <f t="shared" si="70"/>
        <v>0</v>
      </c>
      <c r="J254" s="3003" t="str">
        <f t="shared" si="73"/>
        <v/>
      </c>
      <c r="K254" s="3004"/>
      <c r="L254" s="2997"/>
      <c r="M254" s="2979"/>
      <c r="N254" s="2998"/>
      <c r="O254" s="1508"/>
      <c r="P254" s="929"/>
      <c r="Q254" s="929"/>
      <c r="R254" s="930"/>
      <c r="S254" s="767">
        <f t="shared" si="74"/>
        <v>0</v>
      </c>
      <c r="T254" s="767" t="str">
        <f t="shared" si="75"/>
        <v/>
      </c>
      <c r="U254" s="767">
        <f t="shared" si="76"/>
        <v>0</v>
      </c>
      <c r="V254" s="767">
        <f t="shared" si="77"/>
        <v>0</v>
      </c>
      <c r="W254" s="735">
        <v>0</v>
      </c>
      <c r="X254" s="735">
        <v>0</v>
      </c>
      <c r="Y254" s="754"/>
      <c r="Z254" s="754"/>
      <c r="AA254" s="754"/>
    </row>
    <row r="255" spans="2:27" s="755" customFormat="1" x14ac:dyDescent="0.2">
      <c r="B255" s="958" t="s">
        <v>660</v>
      </c>
      <c r="C255" s="3008"/>
      <c r="D255" s="3009"/>
      <c r="E255" s="1009"/>
      <c r="F255" s="961"/>
      <c r="G255" s="959">
        <f t="shared" si="71"/>
        <v>0</v>
      </c>
      <c r="H255" s="1007">
        <f t="shared" si="72"/>
        <v>0</v>
      </c>
      <c r="I255" s="1008">
        <f t="shared" si="70"/>
        <v>0</v>
      </c>
      <c r="J255" s="3003" t="str">
        <f t="shared" si="73"/>
        <v/>
      </c>
      <c r="K255" s="3004"/>
      <c r="L255" s="2997"/>
      <c r="M255" s="2979"/>
      <c r="N255" s="2998"/>
      <c r="O255" s="1508"/>
      <c r="P255" s="929"/>
      <c r="Q255" s="929"/>
      <c r="R255" s="930"/>
      <c r="S255" s="767">
        <f t="shared" si="74"/>
        <v>0</v>
      </c>
      <c r="T255" s="767" t="str">
        <f t="shared" si="75"/>
        <v/>
      </c>
      <c r="U255" s="767">
        <f t="shared" si="76"/>
        <v>0</v>
      </c>
      <c r="V255" s="767">
        <f t="shared" si="77"/>
        <v>0</v>
      </c>
      <c r="W255" s="735">
        <v>0</v>
      </c>
      <c r="X255" s="735">
        <v>0</v>
      </c>
      <c r="Y255" s="754"/>
      <c r="Z255" s="754"/>
      <c r="AA255" s="754"/>
    </row>
    <row r="256" spans="2:27" s="755" customFormat="1" ht="21" customHeight="1" x14ac:dyDescent="0.2">
      <c r="B256" s="931"/>
      <c r="C256" s="932"/>
      <c r="D256" s="932"/>
      <c r="E256" s="932"/>
      <c r="F256" s="932"/>
      <c r="G256" s="962" t="s">
        <v>686</v>
      </c>
      <c r="H256" s="936">
        <f>SUM(H236:H255)</f>
        <v>0</v>
      </c>
      <c r="I256" s="937">
        <f>SUM(I236:I255)</f>
        <v>0</v>
      </c>
      <c r="J256" s="938"/>
      <c r="K256" s="939"/>
      <c r="L256" s="940"/>
      <c r="M256" s="1184">
        <f>SUM(V236:V255)</f>
        <v>0</v>
      </c>
      <c r="N256" s="978"/>
      <c r="O256" s="943">
        <f>COUNTIF(S236:S255,"3")</f>
        <v>0</v>
      </c>
      <c r="P256" s="943"/>
      <c r="Q256" s="943"/>
      <c r="R256" s="944"/>
      <c r="S256" s="767"/>
      <c r="T256" s="767"/>
      <c r="U256" s="767"/>
      <c r="V256" s="767"/>
      <c r="W256" s="767">
        <f>SUM(W236:W255)</f>
        <v>0</v>
      </c>
      <c r="X256" s="767">
        <f>SUM(X236:X255)</f>
        <v>0</v>
      </c>
      <c r="Y256" s="754"/>
      <c r="Z256" s="754"/>
      <c r="AA256" s="754"/>
    </row>
    <row r="257" spans="1:27" s="842" customFormat="1" ht="12.75" customHeight="1" x14ac:dyDescent="0.2">
      <c r="B257" s="979"/>
      <c r="C257" s="945"/>
      <c r="D257" s="945"/>
      <c r="E257" s="945"/>
      <c r="F257" s="945"/>
      <c r="G257" s="1010"/>
      <c r="H257" s="980"/>
      <c r="I257" s="1011"/>
      <c r="J257" s="981"/>
      <c r="K257" s="981"/>
      <c r="L257" s="981"/>
      <c r="S257" s="840"/>
      <c r="T257" s="840"/>
      <c r="U257" s="840"/>
      <c r="V257" s="841"/>
      <c r="W257" s="840"/>
      <c r="X257" s="840"/>
      <c r="Y257" s="840"/>
      <c r="Z257" s="840"/>
      <c r="AA257" s="840"/>
    </row>
    <row r="258" spans="1:27" s="725" customFormat="1" ht="21" customHeight="1" x14ac:dyDescent="0.2">
      <c r="B258" s="1012" t="s">
        <v>687</v>
      </c>
      <c r="C258" s="720"/>
      <c r="D258" s="720"/>
      <c r="E258" s="720"/>
      <c r="F258" s="720"/>
      <c r="G258" s="720"/>
      <c r="H258" s="720"/>
      <c r="I258" s="1013"/>
      <c r="J258" s="1014"/>
      <c r="K258" s="1014"/>
      <c r="L258" s="1014"/>
      <c r="M258" s="1015"/>
      <c r="N258" s="1015"/>
      <c r="S258" s="723"/>
      <c r="T258" s="723"/>
      <c r="U258" s="723"/>
      <c r="V258" s="724"/>
      <c r="W258" s="723"/>
      <c r="X258" s="723"/>
      <c r="Y258" s="723"/>
      <c r="Z258" s="723"/>
      <c r="AA258" s="723"/>
    </row>
    <row r="259" spans="1:27" s="755" customFormat="1" ht="15" customHeight="1" x14ac:dyDescent="0.2">
      <c r="B259" s="891"/>
      <c r="C259" s="1016" t="s">
        <v>150</v>
      </c>
      <c r="D259" s="727" t="s">
        <v>688</v>
      </c>
      <c r="E259" s="893" t="s">
        <v>623</v>
      </c>
      <c r="F259" s="729" t="s">
        <v>443</v>
      </c>
      <c r="G259" s="729" t="s">
        <v>443</v>
      </c>
      <c r="H259" s="2985" t="s">
        <v>689</v>
      </c>
      <c r="I259" s="3037"/>
      <c r="J259" s="991"/>
      <c r="K259" s="991"/>
      <c r="L259" s="991"/>
      <c r="M259" s="842"/>
      <c r="N259" s="842"/>
      <c r="S259" s="754"/>
      <c r="T259" s="754"/>
      <c r="U259" s="754"/>
      <c r="V259" s="735"/>
      <c r="W259" s="754"/>
      <c r="X259" s="754"/>
      <c r="Y259" s="754"/>
      <c r="Z259" s="754"/>
      <c r="AA259" s="754"/>
    </row>
    <row r="260" spans="1:27" s="755" customFormat="1" ht="15" customHeight="1" x14ac:dyDescent="0.2">
      <c r="B260" s="1017"/>
      <c r="C260" s="1018"/>
      <c r="D260" s="906" t="s">
        <v>690</v>
      </c>
      <c r="E260" s="740"/>
      <c r="F260" s="740" t="s">
        <v>445</v>
      </c>
      <c r="G260" s="740" t="s">
        <v>315</v>
      </c>
      <c r="H260" s="1019"/>
      <c r="I260" s="1020"/>
      <c r="J260" s="872"/>
      <c r="K260" s="872"/>
      <c r="L260" s="872"/>
      <c r="M260" s="842"/>
      <c r="N260" s="842"/>
      <c r="S260" s="754"/>
      <c r="T260" s="754"/>
      <c r="U260" s="754"/>
      <c r="V260" s="735"/>
      <c r="W260" s="754"/>
      <c r="X260" s="754"/>
      <c r="Y260" s="754"/>
      <c r="Z260" s="754"/>
      <c r="AA260" s="754"/>
    </row>
    <row r="261" spans="1:27" s="736" customFormat="1" x14ac:dyDescent="0.2">
      <c r="B261" s="1021" t="s">
        <v>547</v>
      </c>
      <c r="C261" s="1022" t="s">
        <v>691</v>
      </c>
      <c r="D261" s="1023"/>
      <c r="E261" s="1024">
        <v>0.5</v>
      </c>
      <c r="F261" s="960">
        <f t="shared" ref="F261:F266" si="78">IF(D261=0,0,(D261*E261))</f>
        <v>0</v>
      </c>
      <c r="G261" s="960">
        <f t="shared" ref="G261:G266" si="79">F261/15</f>
        <v>0</v>
      </c>
      <c r="H261" s="3001"/>
      <c r="I261" s="3002"/>
      <c r="J261" s="873"/>
      <c r="K261" s="873"/>
      <c r="L261" s="873"/>
      <c r="M261" s="1025"/>
      <c r="N261" s="1025"/>
      <c r="S261" s="734"/>
      <c r="T261" s="734"/>
      <c r="U261" s="734"/>
      <c r="V261" s="735"/>
      <c r="W261" s="734"/>
      <c r="X261" s="734"/>
      <c r="Y261" s="734"/>
      <c r="Z261" s="734"/>
      <c r="AA261" s="734"/>
    </row>
    <row r="262" spans="1:27" s="755" customFormat="1" x14ac:dyDescent="0.2">
      <c r="B262" s="1021" t="s">
        <v>548</v>
      </c>
      <c r="C262" s="1022" t="s">
        <v>692</v>
      </c>
      <c r="D262" s="1026"/>
      <c r="E262" s="1024">
        <v>3</v>
      </c>
      <c r="F262" s="960">
        <f t="shared" si="78"/>
        <v>0</v>
      </c>
      <c r="G262" s="960">
        <f t="shared" si="79"/>
        <v>0</v>
      </c>
      <c r="H262" s="3001"/>
      <c r="I262" s="3002"/>
      <c r="J262" s="872"/>
      <c r="K262" s="872"/>
      <c r="L262" s="872"/>
      <c r="M262" s="842"/>
      <c r="N262" s="842"/>
      <c r="S262" s="754"/>
      <c r="T262" s="754"/>
      <c r="U262" s="754"/>
      <c r="V262" s="735"/>
      <c r="W262" s="754"/>
      <c r="X262" s="754"/>
      <c r="Y262" s="754"/>
      <c r="Z262" s="754"/>
      <c r="AA262" s="754"/>
    </row>
    <row r="263" spans="1:27" s="755" customFormat="1" x14ac:dyDescent="0.2">
      <c r="B263" s="1021" t="s">
        <v>549</v>
      </c>
      <c r="C263" s="1027" t="s">
        <v>693</v>
      </c>
      <c r="D263" s="1023"/>
      <c r="E263" s="1024">
        <v>6</v>
      </c>
      <c r="F263" s="960">
        <f t="shared" si="78"/>
        <v>0</v>
      </c>
      <c r="G263" s="960">
        <f t="shared" si="79"/>
        <v>0</v>
      </c>
      <c r="H263" s="3001"/>
      <c r="I263" s="3002"/>
      <c r="J263" s="872"/>
      <c r="K263" s="872"/>
      <c r="L263" s="872"/>
      <c r="M263" s="842"/>
      <c r="N263" s="842"/>
      <c r="S263" s="754"/>
      <c r="T263" s="754"/>
      <c r="U263" s="754"/>
      <c r="V263" s="735"/>
      <c r="W263" s="754"/>
      <c r="X263" s="754"/>
      <c r="Y263" s="754"/>
      <c r="Z263" s="754"/>
      <c r="AA263" s="754"/>
    </row>
    <row r="264" spans="1:27" s="755" customFormat="1" x14ac:dyDescent="0.2">
      <c r="B264" s="1021" t="s">
        <v>550</v>
      </c>
      <c r="C264" s="1027" t="s">
        <v>694</v>
      </c>
      <c r="D264" s="1023"/>
      <c r="E264" s="1024">
        <v>6</v>
      </c>
      <c r="F264" s="960">
        <f t="shared" si="78"/>
        <v>0</v>
      </c>
      <c r="G264" s="960">
        <f t="shared" si="79"/>
        <v>0</v>
      </c>
      <c r="H264" s="3001"/>
      <c r="I264" s="3002"/>
      <c r="J264" s="872"/>
      <c r="K264" s="872"/>
      <c r="L264" s="872"/>
      <c r="M264" s="842"/>
      <c r="N264" s="842"/>
      <c r="S264" s="754"/>
      <c r="T264" s="754"/>
      <c r="U264" s="754"/>
      <c r="V264" s="735"/>
      <c r="W264" s="754"/>
      <c r="X264" s="754"/>
      <c r="Y264" s="754"/>
      <c r="Z264" s="754"/>
      <c r="AA264" s="754"/>
    </row>
    <row r="265" spans="1:27" s="755" customFormat="1" x14ac:dyDescent="0.2">
      <c r="B265" s="1021" t="s">
        <v>551</v>
      </c>
      <c r="C265" s="1027" t="s">
        <v>695</v>
      </c>
      <c r="D265" s="1023"/>
      <c r="E265" s="1024">
        <v>9</v>
      </c>
      <c r="F265" s="960">
        <f t="shared" si="78"/>
        <v>0</v>
      </c>
      <c r="G265" s="960">
        <f t="shared" si="79"/>
        <v>0</v>
      </c>
      <c r="H265" s="3001"/>
      <c r="I265" s="3002"/>
      <c r="J265" s="872"/>
      <c r="K265" s="872"/>
      <c r="L265" s="872"/>
      <c r="M265" s="842"/>
      <c r="N265" s="842"/>
      <c r="S265" s="754"/>
      <c r="T265" s="754"/>
      <c r="U265" s="754"/>
      <c r="V265" s="735"/>
      <c r="W265" s="754"/>
      <c r="X265" s="754"/>
      <c r="Y265" s="754"/>
      <c r="Z265" s="754"/>
      <c r="AA265" s="754"/>
    </row>
    <row r="266" spans="1:27" s="755" customFormat="1" x14ac:dyDescent="0.2">
      <c r="B266" s="1021" t="s">
        <v>552</v>
      </c>
      <c r="C266" s="1027" t="s">
        <v>696</v>
      </c>
      <c r="D266" s="1023"/>
      <c r="E266" s="1024">
        <v>12</v>
      </c>
      <c r="F266" s="960">
        <f t="shared" si="78"/>
        <v>0</v>
      </c>
      <c r="G266" s="960">
        <f t="shared" si="79"/>
        <v>0</v>
      </c>
      <c r="H266" s="3001"/>
      <c r="I266" s="3002"/>
      <c r="J266" s="872"/>
      <c r="K266" s="872"/>
      <c r="L266" s="872"/>
      <c r="M266" s="842"/>
      <c r="N266" s="842"/>
      <c r="S266" s="754"/>
      <c r="T266" s="754"/>
      <c r="U266" s="754"/>
      <c r="V266" s="735"/>
      <c r="W266" s="754"/>
      <c r="X266" s="754"/>
      <c r="Y266" s="754"/>
      <c r="Z266" s="754"/>
      <c r="AA266" s="754"/>
    </row>
    <row r="267" spans="1:27" s="755" customFormat="1" ht="21" customHeight="1" x14ac:dyDescent="0.2">
      <c r="B267" s="1028"/>
      <c r="C267" s="1029"/>
      <c r="D267" s="1030"/>
      <c r="E267" s="1031" t="s">
        <v>697</v>
      </c>
      <c r="F267" s="936">
        <f>SUM(F261:F266)</f>
        <v>0</v>
      </c>
      <c r="G267" s="936">
        <f>SUM(G261:G266)</f>
        <v>0</v>
      </c>
      <c r="H267" s="1032"/>
      <c r="I267" s="1033"/>
      <c r="J267" s="1034"/>
      <c r="K267" s="1034"/>
      <c r="L267" s="1034"/>
      <c r="M267" s="842"/>
      <c r="N267" s="842"/>
      <c r="S267" s="754"/>
      <c r="T267" s="754"/>
      <c r="U267" s="754"/>
      <c r="V267" s="735"/>
      <c r="W267" s="754"/>
      <c r="X267" s="754"/>
      <c r="Y267" s="754"/>
      <c r="Z267" s="754"/>
      <c r="AA267" s="754"/>
    </row>
    <row r="269" spans="1:27" s="725" customFormat="1" ht="21" customHeight="1" x14ac:dyDescent="0.2">
      <c r="A269" s="1927"/>
      <c r="B269" s="880" t="s">
        <v>1126</v>
      </c>
      <c r="C269" s="881"/>
      <c r="D269" s="882"/>
      <c r="E269" s="883"/>
      <c r="F269" s="883"/>
      <c r="G269" s="884"/>
      <c r="H269" s="885"/>
      <c r="I269" s="885"/>
      <c r="J269" s="885"/>
      <c r="K269" s="885"/>
      <c r="L269" s="885"/>
      <c r="M269" s="885"/>
      <c r="N269" s="885"/>
      <c r="O269" s="887"/>
      <c r="P269" s="2044"/>
      <c r="Q269" s="723"/>
      <c r="R269" s="723"/>
    </row>
    <row r="270" spans="1:27" s="725" customFormat="1" ht="21" customHeight="1" x14ac:dyDescent="0.2">
      <c r="A270" s="1927"/>
      <c r="B270" s="3005" t="s">
        <v>1176</v>
      </c>
      <c r="C270" s="3006"/>
      <c r="D270" s="3006"/>
      <c r="E270" s="3006"/>
      <c r="F270" s="3006"/>
      <c r="G270" s="3006"/>
      <c r="H270" s="3006"/>
      <c r="I270" s="3007"/>
      <c r="J270" s="987"/>
      <c r="K270" s="988"/>
      <c r="L270" s="988"/>
      <c r="M270" s="988"/>
      <c r="N270" s="988"/>
      <c r="O270" s="989"/>
      <c r="P270" s="2044"/>
      <c r="Q270" s="723"/>
      <c r="R270" s="723"/>
      <c r="S270" s="724"/>
      <c r="T270" s="723"/>
      <c r="U270" s="723"/>
      <c r="V270" s="723"/>
      <c r="W270" s="723"/>
      <c r="X270" s="723"/>
    </row>
    <row r="271" spans="1:27" s="755" customFormat="1" ht="12.75" customHeight="1" x14ac:dyDescent="0.2">
      <c r="A271" s="902"/>
      <c r="B271" s="891"/>
      <c r="C271" s="2985" t="s">
        <v>664</v>
      </c>
      <c r="D271" s="2986"/>
      <c r="E271" s="2987"/>
      <c r="F271" s="1964" t="s">
        <v>666</v>
      </c>
      <c r="G271" s="893" t="s">
        <v>623</v>
      </c>
      <c r="H271" s="729" t="s">
        <v>443</v>
      </c>
      <c r="I271" s="730" t="s">
        <v>443</v>
      </c>
      <c r="J271" s="2988" t="s">
        <v>1130</v>
      </c>
      <c r="K271" s="2986"/>
      <c r="L271" s="2986"/>
      <c r="M271" s="2986"/>
      <c r="N271" s="2986"/>
      <c r="O271" s="1185" t="s">
        <v>1129</v>
      </c>
      <c r="P271" s="900"/>
      <c r="Q271" s="754"/>
      <c r="R271" s="754"/>
      <c r="S271" s="735"/>
      <c r="T271" s="754"/>
      <c r="U271" s="754"/>
      <c r="V271" s="754"/>
      <c r="W271" s="754"/>
      <c r="X271" s="754"/>
    </row>
    <row r="272" spans="1:27" s="902" customFormat="1" x14ac:dyDescent="0.2">
      <c r="B272" s="894"/>
      <c r="C272" s="895"/>
      <c r="D272" s="896"/>
      <c r="E272" s="897"/>
      <c r="F272" s="898" t="s">
        <v>670</v>
      </c>
      <c r="G272" s="853"/>
      <c r="H272" s="853" t="s">
        <v>445</v>
      </c>
      <c r="I272" s="854" t="s">
        <v>315</v>
      </c>
      <c r="J272" s="2989" t="s">
        <v>1128</v>
      </c>
      <c r="K272" s="2990"/>
      <c r="L272" s="2990"/>
      <c r="M272" s="2990"/>
      <c r="N272" s="2990"/>
      <c r="O272" s="990" t="s">
        <v>1018</v>
      </c>
      <c r="P272" s="900"/>
      <c r="Q272" s="900"/>
      <c r="R272" s="900"/>
      <c r="S272" s="901"/>
      <c r="T272" s="900"/>
      <c r="U272" s="900"/>
      <c r="V272" s="900"/>
      <c r="W272" s="900"/>
      <c r="X272" s="900"/>
    </row>
    <row r="273" spans="1:27" s="747" customFormat="1" x14ac:dyDescent="0.2">
      <c r="A273" s="1928"/>
      <c r="B273" s="737"/>
      <c r="C273" s="1965"/>
      <c r="D273" s="903"/>
      <c r="E273" s="904"/>
      <c r="F273" s="905" t="s">
        <v>629</v>
      </c>
      <c r="G273" s="1963"/>
      <c r="H273" s="906"/>
      <c r="I273" s="859"/>
      <c r="J273" s="907"/>
      <c r="K273" s="993"/>
      <c r="L273" s="993"/>
      <c r="M273" s="2991"/>
      <c r="N273" s="2991"/>
      <c r="O273" s="859"/>
      <c r="P273" s="2045"/>
      <c r="Q273" s="745"/>
      <c r="R273" s="745"/>
      <c r="S273" s="746"/>
      <c r="T273" s="745"/>
      <c r="U273" s="745"/>
      <c r="V273" s="745"/>
      <c r="W273" s="745"/>
      <c r="X273" s="745"/>
    </row>
    <row r="274" spans="1:27" s="922" customFormat="1" ht="12.75" customHeight="1" x14ac:dyDescent="0.2">
      <c r="A274" s="1929"/>
      <c r="B274" s="912" t="s">
        <v>450</v>
      </c>
      <c r="C274" s="2982" t="s">
        <v>1127</v>
      </c>
      <c r="D274" s="2983"/>
      <c r="E274" s="2984"/>
      <c r="F274" s="913" t="s">
        <v>163</v>
      </c>
      <c r="G274" s="914">
        <f>IF(F274="",0,IF(F274="ระดับชาติ",45,IF(F274="ระดับนานาชาติ",90,45)))</f>
        <v>45</v>
      </c>
      <c r="H274" s="915">
        <f>IF(C274&lt;&gt;"",G274/2,0)</f>
        <v>22.5</v>
      </c>
      <c r="I274" s="916">
        <f t="shared" ref="I274:I284" si="80">H274/15</f>
        <v>1.5</v>
      </c>
      <c r="J274" s="2992"/>
      <c r="K274" s="2993"/>
      <c r="L274" s="2993"/>
      <c r="M274" s="2993"/>
      <c r="N274" s="2993"/>
      <c r="O274" s="1511">
        <v>240817</v>
      </c>
      <c r="P274" s="1923"/>
      <c r="Q274" s="1923"/>
      <c r="R274" s="1923"/>
      <c r="S274" s="919">
        <v>240787</v>
      </c>
      <c r="T274" s="919">
        <v>240057</v>
      </c>
      <c r="U274" s="920"/>
      <c r="V274" s="921"/>
      <c r="W274" s="921" t="s">
        <v>639</v>
      </c>
      <c r="X274" s="921" t="s">
        <v>640</v>
      </c>
      <c r="Y274" s="920"/>
      <c r="Z274" s="920"/>
      <c r="AA274" s="920"/>
    </row>
    <row r="275" spans="1:27" s="769" customFormat="1" x14ac:dyDescent="0.2">
      <c r="A275" s="1930"/>
      <c r="B275" s="923" t="s">
        <v>641</v>
      </c>
      <c r="C275" s="2975"/>
      <c r="D275" s="2976"/>
      <c r="E275" s="2977"/>
      <c r="F275" s="924"/>
      <c r="G275" s="860">
        <f>IF(F275="",0,IF(F275="ระดับชาติ",45,IF(F275="ระดับนานาชาติ",90,45)))</f>
        <v>0</v>
      </c>
      <c r="H275" s="760">
        <f>IF(C275&lt;&gt;"",G275/2,0)</f>
        <v>0</v>
      </c>
      <c r="I275" s="761">
        <f t="shared" si="80"/>
        <v>0</v>
      </c>
      <c r="J275" s="2978"/>
      <c r="K275" s="2979"/>
      <c r="L275" s="2979"/>
      <c r="M275" s="2979"/>
      <c r="N275" s="2979"/>
      <c r="O275" s="1512"/>
      <c r="P275" s="1922"/>
      <c r="Q275" s="1922"/>
      <c r="R275" s="1922"/>
      <c r="S275" s="767">
        <f>IF(AND(F275&lt;&gt;"",C275&lt;&gt;""),IF(AND(F275="ระดับชาติ",C275&lt;&gt;""),3,IF(AND(F275="ระดับนานาชาติ",C275&lt;&gt;""),5,0)),0)</f>
        <v>0</v>
      </c>
      <c r="T275" s="767"/>
      <c r="U275" s="767"/>
      <c r="V275" s="767">
        <f>IF(O275="",0,IF(S275&lt;&gt;0,IF(AND(O275&gt;=$S$21,O275&lt;=$T$21),1,0)))</f>
        <v>0</v>
      </c>
      <c r="W275" s="767">
        <f>IF(AND(S275&lt;&gt;0,V275&lt;&gt;0),1,0)</f>
        <v>0</v>
      </c>
      <c r="X275" s="767">
        <f>IF(AND(S275=5,V275=1),1,0)</f>
        <v>0</v>
      </c>
      <c r="Y275" s="768"/>
      <c r="Z275" s="768"/>
      <c r="AA275" s="768"/>
    </row>
    <row r="276" spans="1:27" s="769" customFormat="1" x14ac:dyDescent="0.2">
      <c r="A276" s="1930"/>
      <c r="B276" s="923" t="s">
        <v>642</v>
      </c>
      <c r="C276" s="2975"/>
      <c r="D276" s="2976"/>
      <c r="E276" s="2977"/>
      <c r="F276" s="924"/>
      <c r="G276" s="860">
        <f t="shared" ref="G276:G284" si="81">IF(F276="",0,IF(F276="ระดับชาติ",45,IF(F276="ระดับนานาชาติ",90,45)))</f>
        <v>0</v>
      </c>
      <c r="H276" s="760">
        <f t="shared" ref="H276:H284" si="82">IF(C276&lt;&gt;"",G276/2,0)</f>
        <v>0</v>
      </c>
      <c r="I276" s="761">
        <f t="shared" si="80"/>
        <v>0</v>
      </c>
      <c r="J276" s="2978"/>
      <c r="K276" s="2979"/>
      <c r="L276" s="2979"/>
      <c r="M276" s="2979"/>
      <c r="N276" s="2979"/>
      <c r="O276" s="1512"/>
      <c r="P276" s="1922"/>
      <c r="Q276" s="1922"/>
      <c r="R276" s="1922"/>
      <c r="S276" s="767">
        <f t="shared" ref="S276:S284" si="83">IF(AND(F276&lt;&gt;"",C276&lt;&gt;""),IF(AND(F276="ระดับชาติ",C276&lt;&gt;""),3,IF(AND(F276="ระดับนานาชาติ",C276&lt;&gt;""),5,0)),0)</f>
        <v>0</v>
      </c>
      <c r="T276" s="767"/>
      <c r="U276" s="767"/>
      <c r="V276" s="767">
        <f t="shared" ref="V276:V284" si="84">IF(O276="",0,IF(S276&lt;&gt;0,IF(AND(O276&gt;=$S$21,O276&lt;=$T$21),1,0)))</f>
        <v>0</v>
      </c>
      <c r="W276" s="767">
        <f t="shared" ref="W276:W284" si="85">IF(AND(S276&lt;&gt;0,V276&lt;&gt;0),1,0)</f>
        <v>0</v>
      </c>
      <c r="X276" s="767">
        <f t="shared" ref="X276:X284" si="86">IF(AND(S276=5,V276=1),1,0)</f>
        <v>0</v>
      </c>
      <c r="Y276" s="768"/>
      <c r="Z276" s="768"/>
      <c r="AA276" s="768"/>
    </row>
    <row r="277" spans="1:27" s="769" customFormat="1" x14ac:dyDescent="0.2">
      <c r="A277" s="1930"/>
      <c r="B277" s="923" t="s">
        <v>643</v>
      </c>
      <c r="C277" s="2975"/>
      <c r="D277" s="2976"/>
      <c r="E277" s="2977"/>
      <c r="F277" s="924"/>
      <c r="G277" s="860">
        <f t="shared" si="81"/>
        <v>0</v>
      </c>
      <c r="H277" s="760">
        <f t="shared" si="82"/>
        <v>0</v>
      </c>
      <c r="I277" s="761">
        <f t="shared" si="80"/>
        <v>0</v>
      </c>
      <c r="J277" s="2978"/>
      <c r="K277" s="2979"/>
      <c r="L277" s="2979"/>
      <c r="M277" s="2979"/>
      <c r="N277" s="2979"/>
      <c r="O277" s="1512"/>
      <c r="P277" s="1922"/>
      <c r="Q277" s="1922"/>
      <c r="R277" s="1922"/>
      <c r="S277" s="767">
        <f t="shared" si="83"/>
        <v>0</v>
      </c>
      <c r="T277" s="767"/>
      <c r="U277" s="767"/>
      <c r="V277" s="767">
        <f t="shared" si="84"/>
        <v>0</v>
      </c>
      <c r="W277" s="767">
        <f t="shared" si="85"/>
        <v>0</v>
      </c>
      <c r="X277" s="767">
        <f t="shared" si="86"/>
        <v>0</v>
      </c>
      <c r="Y277" s="768"/>
      <c r="Z277" s="768"/>
      <c r="AA277" s="768"/>
    </row>
    <row r="278" spans="1:27" s="769" customFormat="1" x14ac:dyDescent="0.2">
      <c r="A278" s="1930"/>
      <c r="B278" s="923" t="s">
        <v>644</v>
      </c>
      <c r="C278" s="2975"/>
      <c r="D278" s="2976"/>
      <c r="E278" s="2977"/>
      <c r="F278" s="924"/>
      <c r="G278" s="860">
        <f t="shared" si="81"/>
        <v>0</v>
      </c>
      <c r="H278" s="760">
        <f t="shared" si="82"/>
        <v>0</v>
      </c>
      <c r="I278" s="761">
        <f t="shared" si="80"/>
        <v>0</v>
      </c>
      <c r="J278" s="2978"/>
      <c r="K278" s="2979"/>
      <c r="L278" s="2979"/>
      <c r="M278" s="2979"/>
      <c r="N278" s="2979"/>
      <c r="O278" s="1512"/>
      <c r="P278" s="1922"/>
      <c r="Q278" s="1922"/>
      <c r="R278" s="1922"/>
      <c r="S278" s="767">
        <f t="shared" si="83"/>
        <v>0</v>
      </c>
      <c r="T278" s="767"/>
      <c r="U278" s="767"/>
      <c r="V278" s="767">
        <f t="shared" si="84"/>
        <v>0</v>
      </c>
      <c r="W278" s="767">
        <f t="shared" si="85"/>
        <v>0</v>
      </c>
      <c r="X278" s="767">
        <f t="shared" si="86"/>
        <v>0</v>
      </c>
      <c r="Y278" s="768"/>
      <c r="Z278" s="768"/>
      <c r="AA278" s="768"/>
    </row>
    <row r="279" spans="1:27" s="769" customFormat="1" x14ac:dyDescent="0.2">
      <c r="A279" s="1930"/>
      <c r="B279" s="923" t="s">
        <v>645</v>
      </c>
      <c r="C279" s="2975"/>
      <c r="D279" s="2976"/>
      <c r="E279" s="2977"/>
      <c r="F279" s="924"/>
      <c r="G279" s="860">
        <f t="shared" si="81"/>
        <v>0</v>
      </c>
      <c r="H279" s="760">
        <f t="shared" si="82"/>
        <v>0</v>
      </c>
      <c r="I279" s="761">
        <f t="shared" si="80"/>
        <v>0</v>
      </c>
      <c r="J279" s="2978"/>
      <c r="K279" s="2979"/>
      <c r="L279" s="2979"/>
      <c r="M279" s="2979"/>
      <c r="N279" s="2979"/>
      <c r="O279" s="1512"/>
      <c r="P279" s="1922"/>
      <c r="Q279" s="1922"/>
      <c r="R279" s="1922"/>
      <c r="S279" s="767">
        <f t="shared" si="83"/>
        <v>0</v>
      </c>
      <c r="T279" s="767"/>
      <c r="U279" s="767"/>
      <c r="V279" s="767">
        <f t="shared" si="84"/>
        <v>0</v>
      </c>
      <c r="W279" s="767">
        <f t="shared" si="85"/>
        <v>0</v>
      </c>
      <c r="X279" s="767">
        <f t="shared" si="86"/>
        <v>0</v>
      </c>
      <c r="Y279" s="768"/>
      <c r="Z279" s="768"/>
      <c r="AA279" s="768"/>
    </row>
    <row r="280" spans="1:27" s="769" customFormat="1" x14ac:dyDescent="0.2">
      <c r="A280" s="1930"/>
      <c r="B280" s="923" t="s">
        <v>646</v>
      </c>
      <c r="C280" s="2975"/>
      <c r="D280" s="2976"/>
      <c r="E280" s="2977"/>
      <c r="F280" s="924"/>
      <c r="G280" s="860">
        <f t="shared" si="81"/>
        <v>0</v>
      </c>
      <c r="H280" s="760">
        <f t="shared" si="82"/>
        <v>0</v>
      </c>
      <c r="I280" s="761">
        <f t="shared" si="80"/>
        <v>0</v>
      </c>
      <c r="J280" s="2978"/>
      <c r="K280" s="2979"/>
      <c r="L280" s="2979"/>
      <c r="M280" s="2979"/>
      <c r="N280" s="2979"/>
      <c r="O280" s="1512"/>
      <c r="P280" s="1922"/>
      <c r="Q280" s="1922"/>
      <c r="R280" s="1922"/>
      <c r="S280" s="767">
        <f t="shared" si="83"/>
        <v>0</v>
      </c>
      <c r="T280" s="767"/>
      <c r="U280" s="767"/>
      <c r="V280" s="767">
        <f t="shared" si="84"/>
        <v>0</v>
      </c>
      <c r="W280" s="767">
        <f t="shared" si="85"/>
        <v>0</v>
      </c>
      <c r="X280" s="767">
        <f t="shared" si="86"/>
        <v>0</v>
      </c>
      <c r="Y280" s="768"/>
      <c r="Z280" s="768"/>
      <c r="AA280" s="768"/>
    </row>
    <row r="281" spans="1:27" s="769" customFormat="1" x14ac:dyDescent="0.2">
      <c r="A281" s="1930"/>
      <c r="B281" s="923" t="s">
        <v>647</v>
      </c>
      <c r="C281" s="2975"/>
      <c r="D281" s="2976"/>
      <c r="E281" s="2977"/>
      <c r="F281" s="924"/>
      <c r="G281" s="860">
        <f t="shared" si="81"/>
        <v>0</v>
      </c>
      <c r="H281" s="760">
        <f t="shared" si="82"/>
        <v>0</v>
      </c>
      <c r="I281" s="761">
        <f t="shared" si="80"/>
        <v>0</v>
      </c>
      <c r="J281" s="2978"/>
      <c r="K281" s="2979"/>
      <c r="L281" s="2979"/>
      <c r="M281" s="2979"/>
      <c r="N281" s="2979"/>
      <c r="O281" s="1512"/>
      <c r="P281" s="1922"/>
      <c r="Q281" s="1922"/>
      <c r="R281" s="1922"/>
      <c r="S281" s="767">
        <f t="shared" si="83"/>
        <v>0</v>
      </c>
      <c r="T281" s="767"/>
      <c r="U281" s="767"/>
      <c r="V281" s="767">
        <f t="shared" si="84"/>
        <v>0</v>
      </c>
      <c r="W281" s="767">
        <f t="shared" si="85"/>
        <v>0</v>
      </c>
      <c r="X281" s="767">
        <f t="shared" si="86"/>
        <v>0</v>
      </c>
      <c r="Y281" s="768"/>
      <c r="Z281" s="768"/>
      <c r="AA281" s="768"/>
    </row>
    <row r="282" spans="1:27" s="769" customFormat="1" x14ac:dyDescent="0.2">
      <c r="A282" s="1930"/>
      <c r="B282" s="923" t="s">
        <v>648</v>
      </c>
      <c r="C282" s="2975"/>
      <c r="D282" s="2976"/>
      <c r="E282" s="2977"/>
      <c r="F282" s="924"/>
      <c r="G282" s="860">
        <f t="shared" si="81"/>
        <v>0</v>
      </c>
      <c r="H282" s="760">
        <f t="shared" si="82"/>
        <v>0</v>
      </c>
      <c r="I282" s="761">
        <f t="shared" si="80"/>
        <v>0</v>
      </c>
      <c r="J282" s="2978"/>
      <c r="K282" s="2979"/>
      <c r="L282" s="2979"/>
      <c r="M282" s="2979"/>
      <c r="N282" s="2979"/>
      <c r="O282" s="1512"/>
      <c r="P282" s="1922"/>
      <c r="Q282" s="1922"/>
      <c r="R282" s="1922"/>
      <c r="S282" s="767">
        <f t="shared" si="83"/>
        <v>0</v>
      </c>
      <c r="T282" s="767"/>
      <c r="U282" s="767"/>
      <c r="V282" s="767">
        <f t="shared" si="84"/>
        <v>0</v>
      </c>
      <c r="W282" s="767">
        <f t="shared" si="85"/>
        <v>0</v>
      </c>
      <c r="X282" s="767">
        <f t="shared" si="86"/>
        <v>0</v>
      </c>
      <c r="Y282" s="768"/>
      <c r="Z282" s="768"/>
      <c r="AA282" s="768"/>
    </row>
    <row r="283" spans="1:27" s="769" customFormat="1" x14ac:dyDescent="0.2">
      <c r="A283" s="1930"/>
      <c r="B283" s="923" t="s">
        <v>649</v>
      </c>
      <c r="C283" s="2975"/>
      <c r="D283" s="2976"/>
      <c r="E283" s="2977"/>
      <c r="F283" s="924"/>
      <c r="G283" s="860">
        <f t="shared" si="81"/>
        <v>0</v>
      </c>
      <c r="H283" s="760">
        <f t="shared" si="82"/>
        <v>0</v>
      </c>
      <c r="I283" s="761">
        <f t="shared" si="80"/>
        <v>0</v>
      </c>
      <c r="J283" s="2978"/>
      <c r="K283" s="2979"/>
      <c r="L283" s="2979"/>
      <c r="M283" s="2979"/>
      <c r="N283" s="2979"/>
      <c r="O283" s="1512"/>
      <c r="P283" s="1922"/>
      <c r="Q283" s="1922"/>
      <c r="R283" s="1922"/>
      <c r="S283" s="767">
        <f t="shared" si="83"/>
        <v>0</v>
      </c>
      <c r="T283" s="767"/>
      <c r="U283" s="767"/>
      <c r="V283" s="767">
        <f t="shared" si="84"/>
        <v>0</v>
      </c>
      <c r="W283" s="767">
        <f t="shared" si="85"/>
        <v>0</v>
      </c>
      <c r="X283" s="767">
        <f t="shared" si="86"/>
        <v>0</v>
      </c>
      <c r="Y283" s="768"/>
      <c r="Z283" s="768"/>
      <c r="AA283" s="768"/>
    </row>
    <row r="284" spans="1:27" s="769" customFormat="1" x14ac:dyDescent="0.2">
      <c r="A284" s="1930"/>
      <c r="B284" s="923" t="s">
        <v>650</v>
      </c>
      <c r="C284" s="2975"/>
      <c r="D284" s="2976"/>
      <c r="E284" s="2977"/>
      <c r="F284" s="924"/>
      <c r="G284" s="860">
        <f t="shared" si="81"/>
        <v>0</v>
      </c>
      <c r="H284" s="760">
        <f t="shared" si="82"/>
        <v>0</v>
      </c>
      <c r="I284" s="761">
        <f t="shared" si="80"/>
        <v>0</v>
      </c>
      <c r="J284" s="2980"/>
      <c r="K284" s="2981"/>
      <c r="L284" s="2981"/>
      <c r="M284" s="2981"/>
      <c r="N284" s="2981"/>
      <c r="O284" s="1924"/>
      <c r="P284" s="1922"/>
      <c r="Q284" s="1922"/>
      <c r="R284" s="1922"/>
      <c r="S284" s="767">
        <f t="shared" si="83"/>
        <v>0</v>
      </c>
      <c r="T284" s="767"/>
      <c r="U284" s="767"/>
      <c r="V284" s="767">
        <f t="shared" si="84"/>
        <v>0</v>
      </c>
      <c r="W284" s="767">
        <f t="shared" si="85"/>
        <v>0</v>
      </c>
      <c r="X284" s="767">
        <f t="shared" si="86"/>
        <v>0</v>
      </c>
      <c r="Y284" s="768"/>
      <c r="Z284" s="768"/>
      <c r="AA284" s="768"/>
    </row>
    <row r="285" spans="1:27" s="755" customFormat="1" ht="21" customHeight="1" x14ac:dyDescent="0.2">
      <c r="A285" s="902"/>
      <c r="B285" s="931"/>
      <c r="C285" s="932"/>
      <c r="D285" s="932"/>
      <c r="E285" s="933"/>
      <c r="F285" s="934"/>
      <c r="G285" s="935" t="s">
        <v>1131</v>
      </c>
      <c r="H285" s="936">
        <f>SUM(H275:H284)</f>
        <v>0</v>
      </c>
      <c r="I285" s="937">
        <f>SUM(I275:I284)</f>
        <v>0</v>
      </c>
      <c r="J285" s="1925"/>
      <c r="K285" s="1926"/>
      <c r="L285" s="1926"/>
      <c r="M285" s="1926"/>
      <c r="N285" s="1936">
        <f>SUM(W275:W284)</f>
        <v>0</v>
      </c>
      <c r="O285" s="1937">
        <f>SUM(X275:X284)</f>
        <v>0</v>
      </c>
      <c r="P285" s="900"/>
      <c r="Q285" s="900"/>
      <c r="R285" s="900"/>
      <c r="W285" s="2046">
        <f>SUM(W275:W284)</f>
        <v>0</v>
      </c>
      <c r="X285" s="2046">
        <f>SUM(X275:X284)</f>
        <v>0</v>
      </c>
    </row>
    <row r="286" spans="1:27" s="842" customFormat="1" ht="12.75" customHeight="1" x14ac:dyDescent="0.2">
      <c r="A286" s="872"/>
      <c r="B286" s="965"/>
      <c r="C286" s="836"/>
      <c r="D286" s="836"/>
      <c r="E286" s="986"/>
      <c r="F286" s="967"/>
      <c r="G286" s="967"/>
      <c r="H286" s="968"/>
      <c r="I286" s="836"/>
      <c r="J286" s="1931"/>
      <c r="K286" s="1931"/>
      <c r="L286" s="1931"/>
      <c r="M286" s="1931"/>
      <c r="N286" s="1103"/>
      <c r="O286" s="2085"/>
      <c r="P286" s="1103"/>
      <c r="Q286" s="1103"/>
      <c r="R286" s="1103"/>
    </row>
    <row r="287" spans="1:27" s="725" customFormat="1" ht="21" customHeight="1" x14ac:dyDescent="0.2">
      <c r="A287" s="1927"/>
      <c r="B287" s="2994" t="s">
        <v>1163</v>
      </c>
      <c r="C287" s="2995"/>
      <c r="D287" s="2995"/>
      <c r="E287" s="2995"/>
      <c r="F287" s="2995"/>
      <c r="G287" s="2995"/>
      <c r="H287" s="2995"/>
      <c r="I287" s="2996"/>
      <c r="J287" s="987"/>
      <c r="K287" s="988"/>
      <c r="L287" s="988"/>
      <c r="M287" s="988"/>
      <c r="N287" s="988"/>
      <c r="O287" s="989"/>
      <c r="P287" s="1931"/>
      <c r="Q287" s="767"/>
      <c r="R287" s="767"/>
      <c r="S287" s="767"/>
      <c r="T287" s="723"/>
      <c r="U287" s="723"/>
      <c r="V287" s="723"/>
      <c r="W287" s="723"/>
      <c r="X287" s="723"/>
    </row>
    <row r="288" spans="1:27" s="755" customFormat="1" ht="12.75" customHeight="1" x14ac:dyDescent="0.2">
      <c r="A288" s="902"/>
      <c r="B288" s="891"/>
      <c r="C288" s="2985" t="s">
        <v>664</v>
      </c>
      <c r="D288" s="2986"/>
      <c r="E288" s="2987"/>
      <c r="F288" s="1964" t="s">
        <v>666</v>
      </c>
      <c r="G288" s="893" t="s">
        <v>623</v>
      </c>
      <c r="H288" s="729" t="s">
        <v>443</v>
      </c>
      <c r="I288" s="730" t="s">
        <v>443</v>
      </c>
      <c r="J288" s="2988" t="s">
        <v>1130</v>
      </c>
      <c r="K288" s="2986"/>
      <c r="L288" s="2986"/>
      <c r="M288" s="2986"/>
      <c r="N288" s="2986"/>
      <c r="O288" s="1185" t="s">
        <v>1129</v>
      </c>
      <c r="P288" s="1931"/>
      <c r="Q288" s="767"/>
      <c r="R288" s="767"/>
      <c r="S288" s="767"/>
      <c r="T288" s="754"/>
      <c r="U288" s="754"/>
      <c r="V288" s="754"/>
      <c r="W288" s="754"/>
      <c r="X288" s="754"/>
    </row>
    <row r="289" spans="1:27" s="902" customFormat="1" x14ac:dyDescent="0.2">
      <c r="B289" s="894"/>
      <c r="C289" s="895"/>
      <c r="D289" s="896"/>
      <c r="E289" s="897"/>
      <c r="F289" s="898" t="s">
        <v>670</v>
      </c>
      <c r="G289" s="853"/>
      <c r="H289" s="853" t="s">
        <v>445</v>
      </c>
      <c r="I289" s="854" t="s">
        <v>315</v>
      </c>
      <c r="J289" s="2989" t="s">
        <v>1128</v>
      </c>
      <c r="K289" s="2990"/>
      <c r="L289" s="2990"/>
      <c r="M289" s="2990"/>
      <c r="N289" s="2990"/>
      <c r="O289" s="990" t="s">
        <v>1018</v>
      </c>
      <c r="P289" s="1931"/>
      <c r="Q289" s="767"/>
      <c r="R289" s="767"/>
      <c r="S289" s="767"/>
      <c r="T289" s="900"/>
      <c r="U289" s="900"/>
      <c r="V289" s="900"/>
      <c r="W289" s="900"/>
      <c r="X289" s="900"/>
    </row>
    <row r="290" spans="1:27" s="747" customFormat="1" x14ac:dyDescent="0.2">
      <c r="A290" s="1928"/>
      <c r="B290" s="737"/>
      <c r="C290" s="1965"/>
      <c r="D290" s="903"/>
      <c r="E290" s="904"/>
      <c r="F290" s="905" t="s">
        <v>629</v>
      </c>
      <c r="G290" s="1963"/>
      <c r="H290" s="906"/>
      <c r="I290" s="859"/>
      <c r="J290" s="907"/>
      <c r="K290" s="993"/>
      <c r="L290" s="993"/>
      <c r="M290" s="2991"/>
      <c r="N290" s="2991"/>
      <c r="O290" s="859"/>
      <c r="P290" s="1931"/>
      <c r="Q290" s="767"/>
      <c r="R290" s="767"/>
      <c r="S290" s="767"/>
      <c r="T290" s="745"/>
      <c r="U290" s="745"/>
      <c r="V290" s="745"/>
      <c r="W290" s="745"/>
      <c r="X290" s="745"/>
    </row>
    <row r="291" spans="1:27" s="922" customFormat="1" ht="12.75" customHeight="1" x14ac:dyDescent="0.2">
      <c r="A291" s="1929"/>
      <c r="B291" s="912" t="s">
        <v>450</v>
      </c>
      <c r="C291" s="2982" t="s">
        <v>1127</v>
      </c>
      <c r="D291" s="2983"/>
      <c r="E291" s="2984"/>
      <c r="F291" s="913" t="s">
        <v>163</v>
      </c>
      <c r="G291" s="914">
        <f>IF(F291="",0,IF(F291="ระดับชาติ",45,IF(F291="ระดับนานาชาติ",90,45)))</f>
        <v>45</v>
      </c>
      <c r="H291" s="915">
        <f>IF(C291&lt;&gt;"",G291/2,0)</f>
        <v>22.5</v>
      </c>
      <c r="I291" s="916">
        <f t="shared" ref="I291:I301" si="87">H291/15</f>
        <v>1.5</v>
      </c>
      <c r="J291" s="2992"/>
      <c r="K291" s="2993"/>
      <c r="L291" s="2993"/>
      <c r="M291" s="2993"/>
      <c r="N291" s="2993"/>
      <c r="O291" s="1511">
        <v>240817</v>
      </c>
      <c r="P291" s="1923"/>
      <c r="Q291" s="1923"/>
      <c r="R291" s="1923"/>
      <c r="S291" s="919">
        <v>240787</v>
      </c>
      <c r="T291" s="919">
        <v>240057</v>
      </c>
      <c r="U291" s="920"/>
      <c r="V291" s="921"/>
      <c r="W291" s="921" t="s">
        <v>639</v>
      </c>
      <c r="X291" s="921" t="s">
        <v>640</v>
      </c>
      <c r="Y291" s="920"/>
      <c r="Z291" s="920"/>
      <c r="AA291" s="920"/>
    </row>
    <row r="292" spans="1:27" s="769" customFormat="1" x14ac:dyDescent="0.2">
      <c r="A292" s="1930"/>
      <c r="B292" s="923" t="s">
        <v>641</v>
      </c>
      <c r="C292" s="2975"/>
      <c r="D292" s="2976"/>
      <c r="E292" s="2977"/>
      <c r="F292" s="924"/>
      <c r="G292" s="860">
        <f>IF(F292="",0,IF(F292="ระดับชาติ",45,IF(F292="ระดับนานาชาติ",90,45)))</f>
        <v>0</v>
      </c>
      <c r="H292" s="760">
        <f>IF(C292&lt;&gt;"",G292/2,0)</f>
        <v>0</v>
      </c>
      <c r="I292" s="761">
        <f t="shared" si="87"/>
        <v>0</v>
      </c>
      <c r="J292" s="2978"/>
      <c r="K292" s="2979"/>
      <c r="L292" s="2979"/>
      <c r="M292" s="2979"/>
      <c r="N292" s="2979"/>
      <c r="O292" s="1512"/>
      <c r="P292" s="1922"/>
      <c r="Q292" s="1922"/>
      <c r="R292" s="1922"/>
      <c r="S292" s="767">
        <f>IF(AND(F292&lt;&gt;"",C292&lt;&gt;""),IF(AND(F292="ระดับชาติ",C292&lt;&gt;""),3,IF(AND(F292="ระดับนานาชาติ",C292&lt;&gt;""),5,0)),0)</f>
        <v>0</v>
      </c>
      <c r="T292" s="767"/>
      <c r="U292" s="767"/>
      <c r="V292" s="767">
        <f>IF(O292="",0,IF(S292&lt;&gt;0,IF(AND(O292&gt;=$S$21,O292&lt;=$T$21),1,0)))</f>
        <v>0</v>
      </c>
      <c r="W292" s="767">
        <f>IF(AND(S292&lt;&gt;0,V292&lt;&gt;0),1,0)</f>
        <v>0</v>
      </c>
      <c r="X292" s="767">
        <f>IF(AND(S292=5,V292=1),1,0)</f>
        <v>0</v>
      </c>
      <c r="Y292" s="768"/>
      <c r="Z292" s="768"/>
      <c r="AA292" s="768"/>
    </row>
    <row r="293" spans="1:27" s="769" customFormat="1" x14ac:dyDescent="0.2">
      <c r="A293" s="1930"/>
      <c r="B293" s="923" t="s">
        <v>642</v>
      </c>
      <c r="C293" s="2975"/>
      <c r="D293" s="2976"/>
      <c r="E293" s="2977"/>
      <c r="F293" s="924"/>
      <c r="G293" s="860">
        <f t="shared" ref="G293:G301" si="88">IF(F293="",0,IF(F293="ระดับชาติ",45,IF(F293="ระดับนานาชาติ",90,45)))</f>
        <v>0</v>
      </c>
      <c r="H293" s="760">
        <f t="shared" ref="H293:H301" si="89">IF(C293&lt;&gt;"",G293/2,0)</f>
        <v>0</v>
      </c>
      <c r="I293" s="761">
        <f t="shared" si="87"/>
        <v>0</v>
      </c>
      <c r="J293" s="2978"/>
      <c r="K293" s="2979"/>
      <c r="L293" s="2979"/>
      <c r="M293" s="2979"/>
      <c r="N293" s="2979"/>
      <c r="O293" s="1512"/>
      <c r="P293" s="1922"/>
      <c r="Q293" s="1922"/>
      <c r="R293" s="1922"/>
      <c r="S293" s="767">
        <f t="shared" ref="S293:S301" si="90">IF(AND(F293&lt;&gt;"",C293&lt;&gt;""),IF(AND(F293="ระดับชาติ",C293&lt;&gt;""),3,IF(AND(F293="ระดับนานาชาติ",C293&lt;&gt;""),5,0)),0)</f>
        <v>0</v>
      </c>
      <c r="T293" s="767"/>
      <c r="U293" s="767"/>
      <c r="V293" s="767">
        <f t="shared" ref="V293:V301" si="91">IF(O293="",0,IF(S293&lt;&gt;0,IF(AND(O293&gt;=$S$21,O293&lt;=$T$21),1,0)))</f>
        <v>0</v>
      </c>
      <c r="W293" s="767">
        <f t="shared" ref="W293:W301" si="92">IF(AND(S293&lt;&gt;0,V293&lt;&gt;0),1,0)</f>
        <v>0</v>
      </c>
      <c r="X293" s="767">
        <f t="shared" ref="X293:X301" si="93">IF(AND(S293=5,V293=1),1,0)</f>
        <v>0</v>
      </c>
      <c r="Y293" s="768"/>
      <c r="Z293" s="768"/>
      <c r="AA293" s="768"/>
    </row>
    <row r="294" spans="1:27" s="769" customFormat="1" x14ac:dyDescent="0.2">
      <c r="A294" s="1930"/>
      <c r="B294" s="923" t="s">
        <v>643</v>
      </c>
      <c r="C294" s="2975"/>
      <c r="D294" s="2976"/>
      <c r="E294" s="2977"/>
      <c r="F294" s="924"/>
      <c r="G294" s="860">
        <f t="shared" si="88"/>
        <v>0</v>
      </c>
      <c r="H294" s="760">
        <f t="shared" si="89"/>
        <v>0</v>
      </c>
      <c r="I294" s="761">
        <f t="shared" si="87"/>
        <v>0</v>
      </c>
      <c r="J294" s="2978"/>
      <c r="K294" s="2979"/>
      <c r="L294" s="2979"/>
      <c r="M294" s="2979"/>
      <c r="N294" s="2979"/>
      <c r="O294" s="1512"/>
      <c r="P294" s="1922"/>
      <c r="Q294" s="1922"/>
      <c r="R294" s="1922"/>
      <c r="S294" s="767">
        <f t="shared" si="90"/>
        <v>0</v>
      </c>
      <c r="T294" s="767"/>
      <c r="U294" s="767"/>
      <c r="V294" s="767">
        <f t="shared" si="91"/>
        <v>0</v>
      </c>
      <c r="W294" s="767">
        <f t="shared" si="92"/>
        <v>0</v>
      </c>
      <c r="X294" s="767">
        <f t="shared" si="93"/>
        <v>0</v>
      </c>
      <c r="Y294" s="768"/>
      <c r="Z294" s="768"/>
      <c r="AA294" s="768"/>
    </row>
    <row r="295" spans="1:27" s="769" customFormat="1" x14ac:dyDescent="0.2">
      <c r="A295" s="1930"/>
      <c r="B295" s="923" t="s">
        <v>644</v>
      </c>
      <c r="C295" s="2975"/>
      <c r="D295" s="2976"/>
      <c r="E295" s="2977"/>
      <c r="F295" s="924"/>
      <c r="G295" s="860">
        <f t="shared" si="88"/>
        <v>0</v>
      </c>
      <c r="H295" s="760">
        <f t="shared" si="89"/>
        <v>0</v>
      </c>
      <c r="I295" s="761">
        <f t="shared" si="87"/>
        <v>0</v>
      </c>
      <c r="J295" s="2978"/>
      <c r="K295" s="2979"/>
      <c r="L295" s="2979"/>
      <c r="M295" s="2979"/>
      <c r="N295" s="2979"/>
      <c r="O295" s="1512"/>
      <c r="P295" s="1922"/>
      <c r="Q295" s="1922"/>
      <c r="R295" s="1922"/>
      <c r="S295" s="767">
        <f t="shared" si="90"/>
        <v>0</v>
      </c>
      <c r="T295" s="767"/>
      <c r="U295" s="767"/>
      <c r="V295" s="767">
        <f t="shared" si="91"/>
        <v>0</v>
      </c>
      <c r="W295" s="767">
        <f t="shared" si="92"/>
        <v>0</v>
      </c>
      <c r="X295" s="767">
        <f t="shared" si="93"/>
        <v>0</v>
      </c>
      <c r="Y295" s="768"/>
      <c r="Z295" s="768"/>
      <c r="AA295" s="768"/>
    </row>
    <row r="296" spans="1:27" s="769" customFormat="1" x14ac:dyDescent="0.2">
      <c r="A296" s="1930"/>
      <c r="B296" s="923" t="s">
        <v>645</v>
      </c>
      <c r="C296" s="2975"/>
      <c r="D296" s="2976"/>
      <c r="E296" s="2977"/>
      <c r="F296" s="924"/>
      <c r="G296" s="860">
        <f t="shared" si="88"/>
        <v>0</v>
      </c>
      <c r="H296" s="760">
        <f t="shared" si="89"/>
        <v>0</v>
      </c>
      <c r="I296" s="761">
        <f t="shared" si="87"/>
        <v>0</v>
      </c>
      <c r="J296" s="2978"/>
      <c r="K296" s="2979"/>
      <c r="L296" s="2979"/>
      <c r="M296" s="2979"/>
      <c r="N296" s="2979"/>
      <c r="O296" s="1512"/>
      <c r="P296" s="1922"/>
      <c r="Q296" s="1922"/>
      <c r="R296" s="1922"/>
      <c r="S296" s="767">
        <f t="shared" si="90"/>
        <v>0</v>
      </c>
      <c r="T296" s="767"/>
      <c r="U296" s="767"/>
      <c r="V296" s="767">
        <f t="shared" si="91"/>
        <v>0</v>
      </c>
      <c r="W296" s="767">
        <f t="shared" si="92"/>
        <v>0</v>
      </c>
      <c r="X296" s="767">
        <f t="shared" si="93"/>
        <v>0</v>
      </c>
      <c r="Y296" s="768"/>
      <c r="Z296" s="768"/>
      <c r="AA296" s="768"/>
    </row>
    <row r="297" spans="1:27" s="769" customFormat="1" x14ac:dyDescent="0.2">
      <c r="A297" s="1930"/>
      <c r="B297" s="923" t="s">
        <v>646</v>
      </c>
      <c r="C297" s="2975"/>
      <c r="D297" s="2976"/>
      <c r="E297" s="2977"/>
      <c r="F297" s="924"/>
      <c r="G297" s="860">
        <f t="shared" si="88"/>
        <v>0</v>
      </c>
      <c r="H297" s="760">
        <f t="shared" si="89"/>
        <v>0</v>
      </c>
      <c r="I297" s="761">
        <f t="shared" si="87"/>
        <v>0</v>
      </c>
      <c r="J297" s="2978"/>
      <c r="K297" s="2979"/>
      <c r="L297" s="2979"/>
      <c r="M297" s="2979"/>
      <c r="N297" s="2979"/>
      <c r="O297" s="1512"/>
      <c r="P297" s="1922"/>
      <c r="Q297" s="1922"/>
      <c r="R297" s="1922"/>
      <c r="S297" s="767">
        <f t="shared" si="90"/>
        <v>0</v>
      </c>
      <c r="T297" s="767"/>
      <c r="U297" s="767"/>
      <c r="V297" s="767">
        <f t="shared" si="91"/>
        <v>0</v>
      </c>
      <c r="W297" s="767">
        <f t="shared" si="92"/>
        <v>0</v>
      </c>
      <c r="X297" s="767">
        <f t="shared" si="93"/>
        <v>0</v>
      </c>
      <c r="Y297" s="768"/>
      <c r="Z297" s="768"/>
      <c r="AA297" s="768"/>
    </row>
    <row r="298" spans="1:27" s="769" customFormat="1" x14ac:dyDescent="0.2">
      <c r="A298" s="1930"/>
      <c r="B298" s="923" t="s">
        <v>647</v>
      </c>
      <c r="C298" s="2975"/>
      <c r="D298" s="2976"/>
      <c r="E298" s="2977"/>
      <c r="F298" s="924"/>
      <c r="G298" s="860">
        <f t="shared" si="88"/>
        <v>0</v>
      </c>
      <c r="H298" s="760">
        <f t="shared" si="89"/>
        <v>0</v>
      </c>
      <c r="I298" s="761">
        <f t="shared" si="87"/>
        <v>0</v>
      </c>
      <c r="J298" s="2978"/>
      <c r="K298" s="2979"/>
      <c r="L298" s="2979"/>
      <c r="M298" s="2979"/>
      <c r="N298" s="2979"/>
      <c r="O298" s="1512"/>
      <c r="P298" s="1922"/>
      <c r="Q298" s="1922"/>
      <c r="R298" s="1922"/>
      <c r="S298" s="767">
        <f t="shared" si="90"/>
        <v>0</v>
      </c>
      <c r="T298" s="767"/>
      <c r="U298" s="767"/>
      <c r="V298" s="767">
        <f t="shared" si="91"/>
        <v>0</v>
      </c>
      <c r="W298" s="767">
        <f t="shared" si="92"/>
        <v>0</v>
      </c>
      <c r="X298" s="767">
        <f t="shared" si="93"/>
        <v>0</v>
      </c>
      <c r="Y298" s="768"/>
      <c r="Z298" s="768"/>
      <c r="AA298" s="768"/>
    </row>
    <row r="299" spans="1:27" s="769" customFormat="1" x14ac:dyDescent="0.2">
      <c r="A299" s="1930"/>
      <c r="B299" s="923" t="s">
        <v>648</v>
      </c>
      <c r="C299" s="2975"/>
      <c r="D299" s="2976"/>
      <c r="E299" s="2977"/>
      <c r="F299" s="924"/>
      <c r="G299" s="860">
        <f t="shared" si="88"/>
        <v>0</v>
      </c>
      <c r="H299" s="760">
        <f t="shared" si="89"/>
        <v>0</v>
      </c>
      <c r="I299" s="761">
        <f t="shared" si="87"/>
        <v>0</v>
      </c>
      <c r="J299" s="2978"/>
      <c r="K299" s="2979"/>
      <c r="L299" s="2979"/>
      <c r="M299" s="2979"/>
      <c r="N299" s="2979"/>
      <c r="O299" s="1512"/>
      <c r="P299" s="1922"/>
      <c r="Q299" s="1922"/>
      <c r="R299" s="1922"/>
      <c r="S299" s="767">
        <f t="shared" si="90"/>
        <v>0</v>
      </c>
      <c r="T299" s="767"/>
      <c r="U299" s="767"/>
      <c r="V299" s="767">
        <f t="shared" si="91"/>
        <v>0</v>
      </c>
      <c r="W299" s="767">
        <f t="shared" si="92"/>
        <v>0</v>
      </c>
      <c r="X299" s="767">
        <f t="shared" si="93"/>
        <v>0</v>
      </c>
      <c r="Y299" s="768"/>
      <c r="Z299" s="768"/>
      <c r="AA299" s="768"/>
    </row>
    <row r="300" spans="1:27" s="769" customFormat="1" x14ac:dyDescent="0.2">
      <c r="A300" s="1930"/>
      <c r="B300" s="923" t="s">
        <v>649</v>
      </c>
      <c r="C300" s="2975"/>
      <c r="D300" s="2976"/>
      <c r="E300" s="2977"/>
      <c r="F300" s="924"/>
      <c r="G300" s="860">
        <f t="shared" si="88"/>
        <v>0</v>
      </c>
      <c r="H300" s="760">
        <f t="shared" si="89"/>
        <v>0</v>
      </c>
      <c r="I300" s="761">
        <f t="shared" si="87"/>
        <v>0</v>
      </c>
      <c r="J300" s="2978"/>
      <c r="K300" s="2979"/>
      <c r="L300" s="2979"/>
      <c r="M300" s="2979"/>
      <c r="N300" s="2979"/>
      <c r="O300" s="1512"/>
      <c r="P300" s="1922"/>
      <c r="Q300" s="1922"/>
      <c r="R300" s="1922"/>
      <c r="S300" s="767">
        <f t="shared" si="90"/>
        <v>0</v>
      </c>
      <c r="T300" s="767"/>
      <c r="U300" s="767"/>
      <c r="V300" s="767">
        <f t="shared" si="91"/>
        <v>0</v>
      </c>
      <c r="W300" s="767">
        <f t="shared" si="92"/>
        <v>0</v>
      </c>
      <c r="X300" s="767">
        <f t="shared" si="93"/>
        <v>0</v>
      </c>
      <c r="Y300" s="768"/>
      <c r="Z300" s="768"/>
      <c r="AA300" s="768"/>
    </row>
    <row r="301" spans="1:27" s="769" customFormat="1" x14ac:dyDescent="0.2">
      <c r="A301" s="1930"/>
      <c r="B301" s="923" t="s">
        <v>650</v>
      </c>
      <c r="C301" s="2975"/>
      <c r="D301" s="2976"/>
      <c r="E301" s="2977"/>
      <c r="F301" s="924"/>
      <c r="G301" s="860">
        <f t="shared" si="88"/>
        <v>0</v>
      </c>
      <c r="H301" s="760">
        <f t="shared" si="89"/>
        <v>0</v>
      </c>
      <c r="I301" s="761">
        <f t="shared" si="87"/>
        <v>0</v>
      </c>
      <c r="J301" s="2980"/>
      <c r="K301" s="2981"/>
      <c r="L301" s="2981"/>
      <c r="M301" s="2981"/>
      <c r="N301" s="2981"/>
      <c r="O301" s="1924"/>
      <c r="P301" s="1922"/>
      <c r="Q301" s="1922"/>
      <c r="R301" s="1922"/>
      <c r="S301" s="767">
        <f t="shared" si="90"/>
        <v>0</v>
      </c>
      <c r="T301" s="767"/>
      <c r="U301" s="767"/>
      <c r="V301" s="767">
        <f t="shared" si="91"/>
        <v>0</v>
      </c>
      <c r="W301" s="767">
        <f t="shared" si="92"/>
        <v>0</v>
      </c>
      <c r="X301" s="767">
        <f t="shared" si="93"/>
        <v>0</v>
      </c>
      <c r="Y301" s="768"/>
      <c r="Z301" s="768"/>
      <c r="AA301" s="768"/>
    </row>
    <row r="302" spans="1:27" s="755" customFormat="1" ht="21" customHeight="1" x14ac:dyDescent="0.2">
      <c r="A302" s="902"/>
      <c r="B302" s="931"/>
      <c r="C302" s="932"/>
      <c r="D302" s="932"/>
      <c r="E302" s="933"/>
      <c r="F302" s="934"/>
      <c r="G302" s="935" t="s">
        <v>1132</v>
      </c>
      <c r="H302" s="936">
        <f>SUM(H292:H301)</f>
        <v>0</v>
      </c>
      <c r="I302" s="937">
        <f>SUM(I292:I301)</f>
        <v>0</v>
      </c>
      <c r="J302" s="1925"/>
      <c r="K302" s="1926"/>
      <c r="L302" s="1926"/>
      <c r="M302" s="1926"/>
      <c r="N302" s="1936">
        <f>SUM(Z292:Z301)</f>
        <v>0</v>
      </c>
      <c r="O302" s="1937">
        <f>SUM(AA292:AA301)</f>
        <v>0</v>
      </c>
      <c r="P302" s="901"/>
      <c r="Q302" s="901"/>
      <c r="R302" s="901"/>
      <c r="S302" s="767"/>
      <c r="T302" s="767"/>
      <c r="U302" s="767"/>
      <c r="V302" s="767"/>
      <c r="W302" s="735">
        <f>SUM(W292:W301)</f>
        <v>0</v>
      </c>
      <c r="X302" s="735">
        <f>SUM(X292:X301)</f>
        <v>0</v>
      </c>
      <c r="Y302" s="754"/>
      <c r="Z302" s="754"/>
      <c r="AA302" s="754"/>
    </row>
    <row r="303" spans="1:27" x14ac:dyDescent="0.2">
      <c r="A303" s="2043"/>
      <c r="B303" s="2043"/>
      <c r="C303" s="2043"/>
      <c r="D303" s="2043"/>
      <c r="E303" s="2043"/>
      <c r="F303" s="2043"/>
      <c r="G303" s="2043"/>
      <c r="H303" s="2043"/>
      <c r="I303" s="2043"/>
      <c r="J303" s="2043"/>
      <c r="K303" s="2043"/>
      <c r="L303" s="2043"/>
      <c r="M303" s="2043"/>
      <c r="N303" s="2043"/>
      <c r="O303" s="2043"/>
      <c r="P303" s="2043"/>
    </row>
  </sheetData>
  <sheetProtection password="DED6" sheet="1" objects="1" scenarios="1" formatCells="0" formatColumns="0" formatRows="0" insertColumns="0" insertRows="0" insertHyperlinks="0"/>
  <dataConsolidate/>
  <mergeCells count="556">
    <mergeCell ref="B5:I5"/>
    <mergeCell ref="C6:F6"/>
    <mergeCell ref="C7:G7"/>
    <mergeCell ref="C8:G8"/>
    <mergeCell ref="B14:H14"/>
    <mergeCell ref="B16:I16"/>
    <mergeCell ref="M24:P24"/>
    <mergeCell ref="M25:P25"/>
    <mergeCell ref="M26:P26"/>
    <mergeCell ref="D19:D20"/>
    <mergeCell ref="M47:P47"/>
    <mergeCell ref="M27:P27"/>
    <mergeCell ref="M28:P28"/>
    <mergeCell ref="J18:P18"/>
    <mergeCell ref="M19:P19"/>
    <mergeCell ref="M20:P20"/>
    <mergeCell ref="J21:P21"/>
    <mergeCell ref="M22:P22"/>
    <mergeCell ref="M23:P23"/>
    <mergeCell ref="M36:P36"/>
    <mergeCell ref="J40:P40"/>
    <mergeCell ref="M41:P41"/>
    <mergeCell ref="M42:P42"/>
    <mergeCell ref="M30:P30"/>
    <mergeCell ref="M31:P31"/>
    <mergeCell ref="M32:P32"/>
    <mergeCell ref="M33:P33"/>
    <mergeCell ref="M34:P34"/>
    <mergeCell ref="M35:P35"/>
    <mergeCell ref="M43:P43"/>
    <mergeCell ref="M38:P38"/>
    <mergeCell ref="M39:P39"/>
    <mergeCell ref="M44:P44"/>
    <mergeCell ref="M45:P45"/>
    <mergeCell ref="C84:D84"/>
    <mergeCell ref="K84:L84"/>
    <mergeCell ref="M84:P84"/>
    <mergeCell ref="C55:E55"/>
    <mergeCell ref="M55:P55"/>
    <mergeCell ref="C56:E56"/>
    <mergeCell ref="M56:P56"/>
    <mergeCell ref="C57:E57"/>
    <mergeCell ref="M57:P57"/>
    <mergeCell ref="M63:P63"/>
    <mergeCell ref="M66:P66"/>
    <mergeCell ref="M67:P67"/>
    <mergeCell ref="M68:P68"/>
    <mergeCell ref="M69:P69"/>
    <mergeCell ref="M70:P70"/>
    <mergeCell ref="M78:P78"/>
    <mergeCell ref="M79:P79"/>
    <mergeCell ref="J62:P62"/>
    <mergeCell ref="M64:P64"/>
    <mergeCell ref="M77:P77"/>
    <mergeCell ref="J83:P83"/>
    <mergeCell ref="D63:D64"/>
    <mergeCell ref="D72:D73"/>
    <mergeCell ref="C88:D88"/>
    <mergeCell ref="K88:L88"/>
    <mergeCell ref="M88:P88"/>
    <mergeCell ref="C89:D89"/>
    <mergeCell ref="K89:L89"/>
    <mergeCell ref="M89:P89"/>
    <mergeCell ref="K85:L85"/>
    <mergeCell ref="M85:P85"/>
    <mergeCell ref="J86:P86"/>
    <mergeCell ref="C87:D87"/>
    <mergeCell ref="K87:L87"/>
    <mergeCell ref="M87:P87"/>
    <mergeCell ref="C97:E97"/>
    <mergeCell ref="J97:K97"/>
    <mergeCell ref="P97:R97"/>
    <mergeCell ref="C90:D90"/>
    <mergeCell ref="K90:L90"/>
    <mergeCell ref="M90:P90"/>
    <mergeCell ref="C91:D91"/>
    <mergeCell ref="K91:L91"/>
    <mergeCell ref="M91:P91"/>
    <mergeCell ref="L97:N97"/>
    <mergeCell ref="J96:R96"/>
    <mergeCell ref="C102:E102"/>
    <mergeCell ref="J102:K102"/>
    <mergeCell ref="C103:E103"/>
    <mergeCell ref="J103:K103"/>
    <mergeCell ref="J98:K98"/>
    <mergeCell ref="C100:E100"/>
    <mergeCell ref="J100:K100"/>
    <mergeCell ref="C101:E101"/>
    <mergeCell ref="J101:K101"/>
    <mergeCell ref="C108:E108"/>
    <mergeCell ref="J108:K108"/>
    <mergeCell ref="C109:E109"/>
    <mergeCell ref="J109:K109"/>
    <mergeCell ref="L111:N111"/>
    <mergeCell ref="L110:N110"/>
    <mergeCell ref="L109:N109"/>
    <mergeCell ref="L108:N108"/>
    <mergeCell ref="L98:N98"/>
    <mergeCell ref="M99:N99"/>
    <mergeCell ref="L100:N100"/>
    <mergeCell ref="L103:N103"/>
    <mergeCell ref="L102:N102"/>
    <mergeCell ref="L101:N101"/>
    <mergeCell ref="C106:E106"/>
    <mergeCell ref="J106:K106"/>
    <mergeCell ref="C107:E107"/>
    <mergeCell ref="J107:K107"/>
    <mergeCell ref="C104:E104"/>
    <mergeCell ref="J104:K104"/>
    <mergeCell ref="C105:E105"/>
    <mergeCell ref="J105:K105"/>
    <mergeCell ref="L107:N107"/>
    <mergeCell ref="L106:N106"/>
    <mergeCell ref="C112:E112"/>
    <mergeCell ref="J112:K112"/>
    <mergeCell ref="C113:E113"/>
    <mergeCell ref="J113:K113"/>
    <mergeCell ref="L115:N115"/>
    <mergeCell ref="L114:N114"/>
    <mergeCell ref="L113:N113"/>
    <mergeCell ref="L112:N112"/>
    <mergeCell ref="C110:E110"/>
    <mergeCell ref="J110:K110"/>
    <mergeCell ref="C111:E111"/>
    <mergeCell ref="J111:K111"/>
    <mergeCell ref="C116:E116"/>
    <mergeCell ref="J116:K116"/>
    <mergeCell ref="C117:E117"/>
    <mergeCell ref="J117:K117"/>
    <mergeCell ref="L119:N119"/>
    <mergeCell ref="L118:N118"/>
    <mergeCell ref="L117:N117"/>
    <mergeCell ref="L116:N116"/>
    <mergeCell ref="C114:E114"/>
    <mergeCell ref="J114:K114"/>
    <mergeCell ref="C115:E115"/>
    <mergeCell ref="J115:K115"/>
    <mergeCell ref="C120:E120"/>
    <mergeCell ref="J120:K120"/>
    <mergeCell ref="J123:R123"/>
    <mergeCell ref="C124:D124"/>
    <mergeCell ref="J124:K124"/>
    <mergeCell ref="L124:M124"/>
    <mergeCell ref="P124:R124"/>
    <mergeCell ref="L120:N120"/>
    <mergeCell ref="C118:E118"/>
    <mergeCell ref="J118:K118"/>
    <mergeCell ref="C119:E119"/>
    <mergeCell ref="J119:K119"/>
    <mergeCell ref="C129:D129"/>
    <mergeCell ref="J129:K129"/>
    <mergeCell ref="L129:M129"/>
    <mergeCell ref="C130:D130"/>
    <mergeCell ref="J130:K130"/>
    <mergeCell ref="L130:M130"/>
    <mergeCell ref="J125:K125"/>
    <mergeCell ref="C127:D127"/>
    <mergeCell ref="J127:K127"/>
    <mergeCell ref="L127:M127"/>
    <mergeCell ref="C128:D128"/>
    <mergeCell ref="J128:K128"/>
    <mergeCell ref="L128:M128"/>
    <mergeCell ref="C133:D133"/>
    <mergeCell ref="J133:K133"/>
    <mergeCell ref="L133:M133"/>
    <mergeCell ref="C134:D134"/>
    <mergeCell ref="J134:K134"/>
    <mergeCell ref="L134:M134"/>
    <mergeCell ref="C131:D131"/>
    <mergeCell ref="J131:K131"/>
    <mergeCell ref="L131:M131"/>
    <mergeCell ref="C132:D132"/>
    <mergeCell ref="J132:K132"/>
    <mergeCell ref="L132:M132"/>
    <mergeCell ref="C137:D137"/>
    <mergeCell ref="J137:K137"/>
    <mergeCell ref="L137:M137"/>
    <mergeCell ref="C138:D138"/>
    <mergeCell ref="J138:K138"/>
    <mergeCell ref="L138:M138"/>
    <mergeCell ref="C135:D135"/>
    <mergeCell ref="J135:K135"/>
    <mergeCell ref="L135:M135"/>
    <mergeCell ref="C136:D136"/>
    <mergeCell ref="J136:K136"/>
    <mergeCell ref="L136:M136"/>
    <mergeCell ref="C141:D141"/>
    <mergeCell ref="J141:K141"/>
    <mergeCell ref="L141:M141"/>
    <mergeCell ref="C142:D142"/>
    <mergeCell ref="J142:K142"/>
    <mergeCell ref="L142:M142"/>
    <mergeCell ref="C139:D139"/>
    <mergeCell ref="J139:K139"/>
    <mergeCell ref="L139:M139"/>
    <mergeCell ref="C140:D140"/>
    <mergeCell ref="J140:K140"/>
    <mergeCell ref="L140:M140"/>
    <mergeCell ref="C145:D145"/>
    <mergeCell ref="J145:K145"/>
    <mergeCell ref="L145:M145"/>
    <mergeCell ref="C146:D146"/>
    <mergeCell ref="J146:K146"/>
    <mergeCell ref="L146:M146"/>
    <mergeCell ref="L151:N151"/>
    <mergeCell ref="C143:D143"/>
    <mergeCell ref="J143:K143"/>
    <mergeCell ref="L143:M143"/>
    <mergeCell ref="C144:D144"/>
    <mergeCell ref="J144:K144"/>
    <mergeCell ref="L144:M144"/>
    <mergeCell ref="C156:E156"/>
    <mergeCell ref="J156:K156"/>
    <mergeCell ref="C157:E157"/>
    <mergeCell ref="J157:K157"/>
    <mergeCell ref="J154:K154"/>
    <mergeCell ref="C155:E155"/>
    <mergeCell ref="J155:K155"/>
    <mergeCell ref="C147:D147"/>
    <mergeCell ref="J147:K147"/>
    <mergeCell ref="J150:R150"/>
    <mergeCell ref="C151:E151"/>
    <mergeCell ref="J151:K151"/>
    <mergeCell ref="P151:R151"/>
    <mergeCell ref="M153:N153"/>
    <mergeCell ref="L152:N152"/>
    <mergeCell ref="L154:N154"/>
    <mergeCell ref="J152:K152"/>
    <mergeCell ref="C154:E154"/>
    <mergeCell ref="L157:N157"/>
    <mergeCell ref="L156:N156"/>
    <mergeCell ref="L155:N155"/>
    <mergeCell ref="L147:M147"/>
    <mergeCell ref="C160:E160"/>
    <mergeCell ref="J160:K160"/>
    <mergeCell ref="C161:E161"/>
    <mergeCell ref="J161:K161"/>
    <mergeCell ref="C158:E158"/>
    <mergeCell ref="J158:K158"/>
    <mergeCell ref="C159:E159"/>
    <mergeCell ref="J159:K159"/>
    <mergeCell ref="L161:N161"/>
    <mergeCell ref="L160:N160"/>
    <mergeCell ref="L159:N159"/>
    <mergeCell ref="L158:N158"/>
    <mergeCell ref="C164:E164"/>
    <mergeCell ref="J164:K164"/>
    <mergeCell ref="C165:E165"/>
    <mergeCell ref="J165:K165"/>
    <mergeCell ref="C162:E162"/>
    <mergeCell ref="J162:K162"/>
    <mergeCell ref="C163:E163"/>
    <mergeCell ref="J163:K163"/>
    <mergeCell ref="L165:N165"/>
    <mergeCell ref="L164:N164"/>
    <mergeCell ref="L163:N163"/>
    <mergeCell ref="L162:N162"/>
    <mergeCell ref="C168:E168"/>
    <mergeCell ref="J168:K168"/>
    <mergeCell ref="C169:E169"/>
    <mergeCell ref="J169:K169"/>
    <mergeCell ref="C166:E166"/>
    <mergeCell ref="J166:K166"/>
    <mergeCell ref="C167:E167"/>
    <mergeCell ref="J167:K167"/>
    <mergeCell ref="L169:N169"/>
    <mergeCell ref="L168:N168"/>
    <mergeCell ref="L167:N167"/>
    <mergeCell ref="L166:N166"/>
    <mergeCell ref="C172:E172"/>
    <mergeCell ref="J172:K172"/>
    <mergeCell ref="C173:E173"/>
    <mergeCell ref="J173:K173"/>
    <mergeCell ref="C170:E170"/>
    <mergeCell ref="J170:K170"/>
    <mergeCell ref="C171:E171"/>
    <mergeCell ref="J171:K171"/>
    <mergeCell ref="L173:N173"/>
    <mergeCell ref="L172:N172"/>
    <mergeCell ref="L171:N171"/>
    <mergeCell ref="L170:N170"/>
    <mergeCell ref="C174:E174"/>
    <mergeCell ref="J174:K174"/>
    <mergeCell ref="J177:R177"/>
    <mergeCell ref="C178:E180"/>
    <mergeCell ref="J178:K178"/>
    <mergeCell ref="P178:R178"/>
    <mergeCell ref="J179:K179"/>
    <mergeCell ref="L174:N174"/>
    <mergeCell ref="M180:N180"/>
    <mergeCell ref="L179:N179"/>
    <mergeCell ref="L178:N178"/>
    <mergeCell ref="C183:E183"/>
    <mergeCell ref="J183:K183"/>
    <mergeCell ref="C184:E184"/>
    <mergeCell ref="J184:K184"/>
    <mergeCell ref="C181:E181"/>
    <mergeCell ref="J181:K181"/>
    <mergeCell ref="C182:E182"/>
    <mergeCell ref="J182:K182"/>
    <mergeCell ref="L181:N181"/>
    <mergeCell ref="L184:N184"/>
    <mergeCell ref="L183:N183"/>
    <mergeCell ref="L182:N182"/>
    <mergeCell ref="C187:E187"/>
    <mergeCell ref="J187:K187"/>
    <mergeCell ref="C188:E188"/>
    <mergeCell ref="J188:K188"/>
    <mergeCell ref="C185:E185"/>
    <mergeCell ref="J185:K185"/>
    <mergeCell ref="C186:E186"/>
    <mergeCell ref="J186:K186"/>
    <mergeCell ref="L188:N188"/>
    <mergeCell ref="L187:N187"/>
    <mergeCell ref="L186:N186"/>
    <mergeCell ref="L185:N185"/>
    <mergeCell ref="C191:E191"/>
    <mergeCell ref="J191:K191"/>
    <mergeCell ref="C192:E192"/>
    <mergeCell ref="J192:K192"/>
    <mergeCell ref="C189:E189"/>
    <mergeCell ref="J189:K189"/>
    <mergeCell ref="C190:E190"/>
    <mergeCell ref="J190:K190"/>
    <mergeCell ref="L192:N192"/>
    <mergeCell ref="L191:N191"/>
    <mergeCell ref="L190:N190"/>
    <mergeCell ref="L189:N189"/>
    <mergeCell ref="C195:E195"/>
    <mergeCell ref="J195:K195"/>
    <mergeCell ref="C196:E196"/>
    <mergeCell ref="J196:K196"/>
    <mergeCell ref="C193:E193"/>
    <mergeCell ref="J193:K193"/>
    <mergeCell ref="C194:E194"/>
    <mergeCell ref="J194:K194"/>
    <mergeCell ref="L196:N196"/>
    <mergeCell ref="L195:N195"/>
    <mergeCell ref="L194:N194"/>
    <mergeCell ref="L193:N193"/>
    <mergeCell ref="C199:E199"/>
    <mergeCell ref="J199:K199"/>
    <mergeCell ref="C200:E200"/>
    <mergeCell ref="J200:K200"/>
    <mergeCell ref="C197:E197"/>
    <mergeCell ref="J197:K197"/>
    <mergeCell ref="C198:E198"/>
    <mergeCell ref="J198:K198"/>
    <mergeCell ref="L201:N201"/>
    <mergeCell ref="L200:N200"/>
    <mergeCell ref="L199:N199"/>
    <mergeCell ref="L198:N198"/>
    <mergeCell ref="L197:N197"/>
    <mergeCell ref="C208:F208"/>
    <mergeCell ref="C209:F209"/>
    <mergeCell ref="C210:F210"/>
    <mergeCell ref="C201:E201"/>
    <mergeCell ref="J201:K201"/>
    <mergeCell ref="C205:F207"/>
    <mergeCell ref="M207:N207"/>
    <mergeCell ref="J210:N210"/>
    <mergeCell ref="J209:N209"/>
    <mergeCell ref="J208:N208"/>
    <mergeCell ref="C214:F214"/>
    <mergeCell ref="C215:F215"/>
    <mergeCell ref="C216:F216"/>
    <mergeCell ref="C211:F211"/>
    <mergeCell ref="C212:F212"/>
    <mergeCell ref="C213:F213"/>
    <mergeCell ref="J216:N216"/>
    <mergeCell ref="J215:N215"/>
    <mergeCell ref="J214:N214"/>
    <mergeCell ref="J213:N213"/>
    <mergeCell ref="J212:N212"/>
    <mergeCell ref="J211:N211"/>
    <mergeCell ref="C220:F220"/>
    <mergeCell ref="C221:F221"/>
    <mergeCell ref="C222:F222"/>
    <mergeCell ref="C217:F217"/>
    <mergeCell ref="C218:F218"/>
    <mergeCell ref="C219:F219"/>
    <mergeCell ref="J222:N222"/>
    <mergeCell ref="J221:N221"/>
    <mergeCell ref="J220:N220"/>
    <mergeCell ref="J219:N219"/>
    <mergeCell ref="J218:N218"/>
    <mergeCell ref="J217:N217"/>
    <mergeCell ref="C226:F226"/>
    <mergeCell ref="C227:F227"/>
    <mergeCell ref="C228:F228"/>
    <mergeCell ref="C223:F223"/>
    <mergeCell ref="C224:F224"/>
    <mergeCell ref="C225:F225"/>
    <mergeCell ref="J228:N228"/>
    <mergeCell ref="J227:N227"/>
    <mergeCell ref="J226:N226"/>
    <mergeCell ref="J225:N225"/>
    <mergeCell ref="J224:N224"/>
    <mergeCell ref="J223:N223"/>
    <mergeCell ref="J231:R231"/>
    <mergeCell ref="C232:D232"/>
    <mergeCell ref="J232:K232"/>
    <mergeCell ref="P232:R232"/>
    <mergeCell ref="J233:K233"/>
    <mergeCell ref="M234:N234"/>
    <mergeCell ref="L233:N233"/>
    <mergeCell ref="L232:N232"/>
    <mergeCell ref="L235:N235"/>
    <mergeCell ref="L240:N240"/>
    <mergeCell ref="L239:N239"/>
    <mergeCell ref="L238:N238"/>
    <mergeCell ref="L237:N237"/>
    <mergeCell ref="C235:D235"/>
    <mergeCell ref="J235:K235"/>
    <mergeCell ref="C236:D236"/>
    <mergeCell ref="J236:K236"/>
    <mergeCell ref="L236:N236"/>
    <mergeCell ref="C255:D255"/>
    <mergeCell ref="J255:K255"/>
    <mergeCell ref="H259:I259"/>
    <mergeCell ref="C253:D253"/>
    <mergeCell ref="J253:K253"/>
    <mergeCell ref="C254:D254"/>
    <mergeCell ref="J254:K254"/>
    <mergeCell ref="L255:N255"/>
    <mergeCell ref="L254:N254"/>
    <mergeCell ref="L253:N253"/>
    <mergeCell ref="C248:D248"/>
    <mergeCell ref="J248:K248"/>
    <mergeCell ref="C245:D245"/>
    <mergeCell ref="J245:K245"/>
    <mergeCell ref="C246:D246"/>
    <mergeCell ref="J246:K246"/>
    <mergeCell ref="L248:N248"/>
    <mergeCell ref="L247:N247"/>
    <mergeCell ref="L246:N246"/>
    <mergeCell ref="L245:N245"/>
    <mergeCell ref="M46:P46"/>
    <mergeCell ref="P205:R205"/>
    <mergeCell ref="C247:D247"/>
    <mergeCell ref="J247:K247"/>
    <mergeCell ref="C243:D243"/>
    <mergeCell ref="J243:K243"/>
    <mergeCell ref="C244:D244"/>
    <mergeCell ref="J244:K244"/>
    <mergeCell ref="C241:D241"/>
    <mergeCell ref="J241:K241"/>
    <mergeCell ref="C242:D242"/>
    <mergeCell ref="J242:K242"/>
    <mergeCell ref="L244:N244"/>
    <mergeCell ref="L243:N243"/>
    <mergeCell ref="L242:N242"/>
    <mergeCell ref="L241:N241"/>
    <mergeCell ref="C239:D239"/>
    <mergeCell ref="J239:K239"/>
    <mergeCell ref="C240:D240"/>
    <mergeCell ref="J240:K240"/>
    <mergeCell ref="C237:D237"/>
    <mergeCell ref="J237:K237"/>
    <mergeCell ref="C238:D238"/>
    <mergeCell ref="J238:K238"/>
    <mergeCell ref="J251:K251"/>
    <mergeCell ref="C252:D252"/>
    <mergeCell ref="J252:K252"/>
    <mergeCell ref="C249:D249"/>
    <mergeCell ref="J249:K249"/>
    <mergeCell ref="C250:D250"/>
    <mergeCell ref="D38:D39"/>
    <mergeCell ref="J65:P65"/>
    <mergeCell ref="M73:P73"/>
    <mergeCell ref="J74:P74"/>
    <mergeCell ref="M72:P72"/>
    <mergeCell ref="M75:P75"/>
    <mergeCell ref="M76:P76"/>
    <mergeCell ref="C58:E58"/>
    <mergeCell ref="M58:P58"/>
    <mergeCell ref="C59:E59"/>
    <mergeCell ref="M59:P59"/>
    <mergeCell ref="M49:P49"/>
    <mergeCell ref="M50:P50"/>
    <mergeCell ref="C52:E52"/>
    <mergeCell ref="M52:P52"/>
    <mergeCell ref="M53:P53"/>
    <mergeCell ref="J54:P54"/>
    <mergeCell ref="M48:P48"/>
    <mergeCell ref="J272:N272"/>
    <mergeCell ref="J274:N274"/>
    <mergeCell ref="L105:N105"/>
    <mergeCell ref="L104:N104"/>
    <mergeCell ref="K92:L92"/>
    <mergeCell ref="H266:I266"/>
    <mergeCell ref="H265:I265"/>
    <mergeCell ref="H264:I264"/>
    <mergeCell ref="H263:I263"/>
    <mergeCell ref="H262:I262"/>
    <mergeCell ref="H261:I261"/>
    <mergeCell ref="J206:N206"/>
    <mergeCell ref="J205:N205"/>
    <mergeCell ref="J250:K250"/>
    <mergeCell ref="L252:N252"/>
    <mergeCell ref="L251:N251"/>
    <mergeCell ref="L250:N250"/>
    <mergeCell ref="L249:N249"/>
    <mergeCell ref="B270:I270"/>
    <mergeCell ref="C271:E271"/>
    <mergeCell ref="M273:N273"/>
    <mergeCell ref="C274:E274"/>
    <mergeCell ref="J271:N271"/>
    <mergeCell ref="C251:D251"/>
    <mergeCell ref="C295:E295"/>
    <mergeCell ref="C296:E296"/>
    <mergeCell ref="J296:N296"/>
    <mergeCell ref="C293:E293"/>
    <mergeCell ref="C294:E294"/>
    <mergeCell ref="C291:E291"/>
    <mergeCell ref="C292:E292"/>
    <mergeCell ref="C288:E288"/>
    <mergeCell ref="C284:E284"/>
    <mergeCell ref="J284:N284"/>
    <mergeCell ref="J288:N288"/>
    <mergeCell ref="J289:N289"/>
    <mergeCell ref="M290:N290"/>
    <mergeCell ref="J291:N291"/>
    <mergeCell ref="J292:N292"/>
    <mergeCell ref="J293:N293"/>
    <mergeCell ref="J294:N294"/>
    <mergeCell ref="J295:N295"/>
    <mergeCell ref="B287:I287"/>
    <mergeCell ref="C300:E300"/>
    <mergeCell ref="C301:E301"/>
    <mergeCell ref="J300:N300"/>
    <mergeCell ref="J301:N301"/>
    <mergeCell ref="C297:E297"/>
    <mergeCell ref="C298:E298"/>
    <mergeCell ref="C299:E299"/>
    <mergeCell ref="J297:N297"/>
    <mergeCell ref="J298:N298"/>
    <mergeCell ref="J299:N299"/>
    <mergeCell ref="J275:N275"/>
    <mergeCell ref="J276:N276"/>
    <mergeCell ref="J277:N277"/>
    <mergeCell ref="J278:N278"/>
    <mergeCell ref="J279:N279"/>
    <mergeCell ref="J280:N280"/>
    <mergeCell ref="J281:N281"/>
    <mergeCell ref="J282:N282"/>
    <mergeCell ref="J283:N283"/>
    <mergeCell ref="C281:E281"/>
    <mergeCell ref="C282:E282"/>
    <mergeCell ref="C283:E283"/>
    <mergeCell ref="C278:E278"/>
    <mergeCell ref="C279:E279"/>
    <mergeCell ref="C280:E280"/>
    <mergeCell ref="C275:E275"/>
    <mergeCell ref="C276:E276"/>
    <mergeCell ref="C277:E277"/>
  </mergeCells>
  <dataValidations count="12">
    <dataValidation type="list" allowBlank="1" showInputMessage="1" showErrorMessage="1" sqref="J154:K174 J181:K201" xr:uid="{00000000-0002-0000-0500-000000000000}">
      <formula1>WeightTypeList2</formula1>
    </dataValidation>
    <dataValidation type="list" allowBlank="1" showInputMessage="1" showErrorMessage="1" sqref="P100:R120 P127:R147 P154:R174 P181:R201 P235:R255" xr:uid="{00000000-0002-0000-0500-000001000000}">
      <formula1>CheckAuthor</formula1>
    </dataValidation>
    <dataValidation type="list" allowBlank="1" showInputMessage="1" showErrorMessage="1" sqref="J100:K120" xr:uid="{00000000-0002-0000-0500-000002000000}">
      <formula1>WeightTypeList</formula1>
    </dataValidation>
    <dataValidation type="list" allowBlank="1" showInputMessage="1" showErrorMessage="1" promptTitle="ประเภทผลงาน" prompt="กรุณาเลือก" sqref="E235:E255" xr:uid="{00000000-0002-0000-0500-000003000000}">
      <formula1>PatentList</formula1>
    </dataValidation>
    <dataValidation type="list" allowBlank="1" showInputMessage="1" showErrorMessage="1" sqref="E127 E138:E147" xr:uid="{00000000-0002-0000-0500-000004000000}">
      <formula1>WorkTypeList</formula1>
    </dataValidation>
    <dataValidation type="list" allowBlank="1" showInputMessage="1" showErrorMessage="1" promptTitle="ประเภทผลงาน" prompt="กรุณาเลือก" sqref="E128:E137" xr:uid="{00000000-0002-0000-0500-000005000000}">
      <formula1>WorkTypeList</formula1>
    </dataValidation>
    <dataValidation type="list" allowBlank="1" showInputMessage="1" showErrorMessage="1" sqref="F100:F120 F127:F147 F154:F174 F181:F201 F235:F255 F274:F284 F291:F301" xr:uid="{00000000-0002-0000-0500-000006000000}">
      <formula1>NationalList</formula1>
    </dataValidation>
    <dataValidation type="whole" allowBlank="1" showInputMessage="1" showErrorMessage="1" error="ค่าของสัดส่วนงานเกิน 100% กรุณากรอกใหม่ค่ะ" prompt="กรอกตัวเลขระหว่าง 1 - 100" sqref="F75:F79 F65523:F65532 JB65523:JB65532 SX65523:SX65532 ACT65523:ACT65532 AMP65523:AMP65532 AWL65523:AWL65532 BGH65523:BGH65532 BQD65523:BQD65532 BZZ65523:BZZ65532 CJV65523:CJV65532 CTR65523:CTR65532 DDN65523:DDN65532 DNJ65523:DNJ65532 DXF65523:DXF65532 EHB65523:EHB65532 EQX65523:EQX65532 FAT65523:FAT65532 FKP65523:FKP65532 FUL65523:FUL65532 GEH65523:GEH65532 GOD65523:GOD65532 GXZ65523:GXZ65532 HHV65523:HHV65532 HRR65523:HRR65532 IBN65523:IBN65532 ILJ65523:ILJ65532 IVF65523:IVF65532 JFB65523:JFB65532 JOX65523:JOX65532 JYT65523:JYT65532 KIP65523:KIP65532 KSL65523:KSL65532 LCH65523:LCH65532 LMD65523:LMD65532 LVZ65523:LVZ65532 MFV65523:MFV65532 MPR65523:MPR65532 MZN65523:MZN65532 NJJ65523:NJJ65532 NTF65523:NTF65532 ODB65523:ODB65532 OMX65523:OMX65532 OWT65523:OWT65532 PGP65523:PGP65532 PQL65523:PQL65532 QAH65523:QAH65532 QKD65523:QKD65532 QTZ65523:QTZ65532 RDV65523:RDV65532 RNR65523:RNR65532 RXN65523:RXN65532 SHJ65523:SHJ65532 SRF65523:SRF65532 TBB65523:TBB65532 TKX65523:TKX65532 TUT65523:TUT65532 UEP65523:UEP65532 UOL65523:UOL65532 UYH65523:UYH65532 VID65523:VID65532 VRZ65523:VRZ65532 WBV65523:WBV65532 WLR65523:WLR65532 WVN65523:WVN65532 F131059:F131068 JB131059:JB131068 SX131059:SX131068 ACT131059:ACT131068 AMP131059:AMP131068 AWL131059:AWL131068 BGH131059:BGH131068 BQD131059:BQD131068 BZZ131059:BZZ131068 CJV131059:CJV131068 CTR131059:CTR131068 DDN131059:DDN131068 DNJ131059:DNJ131068 DXF131059:DXF131068 EHB131059:EHB131068 EQX131059:EQX131068 FAT131059:FAT131068 FKP131059:FKP131068 FUL131059:FUL131068 GEH131059:GEH131068 GOD131059:GOD131068 GXZ131059:GXZ131068 HHV131059:HHV131068 HRR131059:HRR131068 IBN131059:IBN131068 ILJ131059:ILJ131068 IVF131059:IVF131068 JFB131059:JFB131068 JOX131059:JOX131068 JYT131059:JYT131068 KIP131059:KIP131068 KSL131059:KSL131068 LCH131059:LCH131068 LMD131059:LMD131068 LVZ131059:LVZ131068 MFV131059:MFV131068 MPR131059:MPR131068 MZN131059:MZN131068 NJJ131059:NJJ131068 NTF131059:NTF131068 ODB131059:ODB131068 OMX131059:OMX131068 OWT131059:OWT131068 PGP131059:PGP131068 PQL131059:PQL131068 QAH131059:QAH131068 QKD131059:QKD131068 QTZ131059:QTZ131068 RDV131059:RDV131068 RNR131059:RNR131068 RXN131059:RXN131068 SHJ131059:SHJ131068 SRF131059:SRF131068 TBB131059:TBB131068 TKX131059:TKX131068 TUT131059:TUT131068 UEP131059:UEP131068 UOL131059:UOL131068 UYH131059:UYH131068 VID131059:VID131068 VRZ131059:VRZ131068 WBV131059:WBV131068 WLR131059:WLR131068 WVN131059:WVN131068 F196595:F196604 JB196595:JB196604 SX196595:SX196604 ACT196595:ACT196604 AMP196595:AMP196604 AWL196595:AWL196604 BGH196595:BGH196604 BQD196595:BQD196604 BZZ196595:BZZ196604 CJV196595:CJV196604 CTR196595:CTR196604 DDN196595:DDN196604 DNJ196595:DNJ196604 DXF196595:DXF196604 EHB196595:EHB196604 EQX196595:EQX196604 FAT196595:FAT196604 FKP196595:FKP196604 FUL196595:FUL196604 GEH196595:GEH196604 GOD196595:GOD196604 GXZ196595:GXZ196604 HHV196595:HHV196604 HRR196595:HRR196604 IBN196595:IBN196604 ILJ196595:ILJ196604 IVF196595:IVF196604 JFB196595:JFB196604 JOX196595:JOX196604 JYT196595:JYT196604 KIP196595:KIP196604 KSL196595:KSL196604 LCH196595:LCH196604 LMD196595:LMD196604 LVZ196595:LVZ196604 MFV196595:MFV196604 MPR196595:MPR196604 MZN196595:MZN196604 NJJ196595:NJJ196604 NTF196595:NTF196604 ODB196595:ODB196604 OMX196595:OMX196604 OWT196595:OWT196604 PGP196595:PGP196604 PQL196595:PQL196604 QAH196595:QAH196604 QKD196595:QKD196604 QTZ196595:QTZ196604 RDV196595:RDV196604 RNR196595:RNR196604 RXN196595:RXN196604 SHJ196595:SHJ196604 SRF196595:SRF196604 TBB196595:TBB196604 TKX196595:TKX196604 TUT196595:TUT196604 UEP196595:UEP196604 UOL196595:UOL196604 UYH196595:UYH196604 VID196595:VID196604 VRZ196595:VRZ196604 WBV196595:WBV196604 WLR196595:WLR196604 WVN196595:WVN196604 F262131:F262140 JB262131:JB262140 SX262131:SX262140 ACT262131:ACT262140 AMP262131:AMP262140 AWL262131:AWL262140 BGH262131:BGH262140 BQD262131:BQD262140 BZZ262131:BZZ262140 CJV262131:CJV262140 CTR262131:CTR262140 DDN262131:DDN262140 DNJ262131:DNJ262140 DXF262131:DXF262140 EHB262131:EHB262140 EQX262131:EQX262140 FAT262131:FAT262140 FKP262131:FKP262140 FUL262131:FUL262140 GEH262131:GEH262140 GOD262131:GOD262140 GXZ262131:GXZ262140 HHV262131:HHV262140 HRR262131:HRR262140 IBN262131:IBN262140 ILJ262131:ILJ262140 IVF262131:IVF262140 JFB262131:JFB262140 JOX262131:JOX262140 JYT262131:JYT262140 KIP262131:KIP262140 KSL262131:KSL262140 LCH262131:LCH262140 LMD262131:LMD262140 LVZ262131:LVZ262140 MFV262131:MFV262140 MPR262131:MPR262140 MZN262131:MZN262140 NJJ262131:NJJ262140 NTF262131:NTF262140 ODB262131:ODB262140 OMX262131:OMX262140 OWT262131:OWT262140 PGP262131:PGP262140 PQL262131:PQL262140 QAH262131:QAH262140 QKD262131:QKD262140 QTZ262131:QTZ262140 RDV262131:RDV262140 RNR262131:RNR262140 RXN262131:RXN262140 SHJ262131:SHJ262140 SRF262131:SRF262140 TBB262131:TBB262140 TKX262131:TKX262140 TUT262131:TUT262140 UEP262131:UEP262140 UOL262131:UOL262140 UYH262131:UYH262140 VID262131:VID262140 VRZ262131:VRZ262140 WBV262131:WBV262140 WLR262131:WLR262140 WVN262131:WVN262140 F327667:F327676 JB327667:JB327676 SX327667:SX327676 ACT327667:ACT327676 AMP327667:AMP327676 AWL327667:AWL327676 BGH327667:BGH327676 BQD327667:BQD327676 BZZ327667:BZZ327676 CJV327667:CJV327676 CTR327667:CTR327676 DDN327667:DDN327676 DNJ327667:DNJ327676 DXF327667:DXF327676 EHB327667:EHB327676 EQX327667:EQX327676 FAT327667:FAT327676 FKP327667:FKP327676 FUL327667:FUL327676 GEH327667:GEH327676 GOD327667:GOD327676 GXZ327667:GXZ327676 HHV327667:HHV327676 HRR327667:HRR327676 IBN327667:IBN327676 ILJ327667:ILJ327676 IVF327667:IVF327676 JFB327667:JFB327676 JOX327667:JOX327676 JYT327667:JYT327676 KIP327667:KIP327676 KSL327667:KSL327676 LCH327667:LCH327676 LMD327667:LMD327676 LVZ327667:LVZ327676 MFV327667:MFV327676 MPR327667:MPR327676 MZN327667:MZN327676 NJJ327667:NJJ327676 NTF327667:NTF327676 ODB327667:ODB327676 OMX327667:OMX327676 OWT327667:OWT327676 PGP327667:PGP327676 PQL327667:PQL327676 QAH327667:QAH327676 QKD327667:QKD327676 QTZ327667:QTZ327676 RDV327667:RDV327676 RNR327667:RNR327676 RXN327667:RXN327676 SHJ327667:SHJ327676 SRF327667:SRF327676 TBB327667:TBB327676 TKX327667:TKX327676 TUT327667:TUT327676 UEP327667:UEP327676 UOL327667:UOL327676 UYH327667:UYH327676 VID327667:VID327676 VRZ327667:VRZ327676 WBV327667:WBV327676 WLR327667:WLR327676 WVN327667:WVN327676 F393203:F393212 JB393203:JB393212 SX393203:SX393212 ACT393203:ACT393212 AMP393203:AMP393212 AWL393203:AWL393212 BGH393203:BGH393212 BQD393203:BQD393212 BZZ393203:BZZ393212 CJV393203:CJV393212 CTR393203:CTR393212 DDN393203:DDN393212 DNJ393203:DNJ393212 DXF393203:DXF393212 EHB393203:EHB393212 EQX393203:EQX393212 FAT393203:FAT393212 FKP393203:FKP393212 FUL393203:FUL393212 GEH393203:GEH393212 GOD393203:GOD393212 GXZ393203:GXZ393212 HHV393203:HHV393212 HRR393203:HRR393212 IBN393203:IBN393212 ILJ393203:ILJ393212 IVF393203:IVF393212 JFB393203:JFB393212 JOX393203:JOX393212 JYT393203:JYT393212 KIP393203:KIP393212 KSL393203:KSL393212 LCH393203:LCH393212 LMD393203:LMD393212 LVZ393203:LVZ393212 MFV393203:MFV393212 MPR393203:MPR393212 MZN393203:MZN393212 NJJ393203:NJJ393212 NTF393203:NTF393212 ODB393203:ODB393212 OMX393203:OMX393212 OWT393203:OWT393212 PGP393203:PGP393212 PQL393203:PQL393212 QAH393203:QAH393212 QKD393203:QKD393212 QTZ393203:QTZ393212 RDV393203:RDV393212 RNR393203:RNR393212 RXN393203:RXN393212 SHJ393203:SHJ393212 SRF393203:SRF393212 TBB393203:TBB393212 TKX393203:TKX393212 TUT393203:TUT393212 UEP393203:UEP393212 UOL393203:UOL393212 UYH393203:UYH393212 VID393203:VID393212 VRZ393203:VRZ393212 WBV393203:WBV393212 WLR393203:WLR393212 WVN393203:WVN393212 F458739:F458748 JB458739:JB458748 SX458739:SX458748 ACT458739:ACT458748 AMP458739:AMP458748 AWL458739:AWL458748 BGH458739:BGH458748 BQD458739:BQD458748 BZZ458739:BZZ458748 CJV458739:CJV458748 CTR458739:CTR458748 DDN458739:DDN458748 DNJ458739:DNJ458748 DXF458739:DXF458748 EHB458739:EHB458748 EQX458739:EQX458748 FAT458739:FAT458748 FKP458739:FKP458748 FUL458739:FUL458748 GEH458739:GEH458748 GOD458739:GOD458748 GXZ458739:GXZ458748 HHV458739:HHV458748 HRR458739:HRR458748 IBN458739:IBN458748 ILJ458739:ILJ458748 IVF458739:IVF458748 JFB458739:JFB458748 JOX458739:JOX458748 JYT458739:JYT458748 KIP458739:KIP458748 KSL458739:KSL458748 LCH458739:LCH458748 LMD458739:LMD458748 LVZ458739:LVZ458748 MFV458739:MFV458748 MPR458739:MPR458748 MZN458739:MZN458748 NJJ458739:NJJ458748 NTF458739:NTF458748 ODB458739:ODB458748 OMX458739:OMX458748 OWT458739:OWT458748 PGP458739:PGP458748 PQL458739:PQL458748 QAH458739:QAH458748 QKD458739:QKD458748 QTZ458739:QTZ458748 RDV458739:RDV458748 RNR458739:RNR458748 RXN458739:RXN458748 SHJ458739:SHJ458748 SRF458739:SRF458748 TBB458739:TBB458748 TKX458739:TKX458748 TUT458739:TUT458748 UEP458739:UEP458748 UOL458739:UOL458748 UYH458739:UYH458748 VID458739:VID458748 VRZ458739:VRZ458748 WBV458739:WBV458748 WLR458739:WLR458748 WVN458739:WVN458748 F524275:F524284 JB524275:JB524284 SX524275:SX524284 ACT524275:ACT524284 AMP524275:AMP524284 AWL524275:AWL524284 BGH524275:BGH524284 BQD524275:BQD524284 BZZ524275:BZZ524284 CJV524275:CJV524284 CTR524275:CTR524284 DDN524275:DDN524284 DNJ524275:DNJ524284 DXF524275:DXF524284 EHB524275:EHB524284 EQX524275:EQX524284 FAT524275:FAT524284 FKP524275:FKP524284 FUL524275:FUL524284 GEH524275:GEH524284 GOD524275:GOD524284 GXZ524275:GXZ524284 HHV524275:HHV524284 HRR524275:HRR524284 IBN524275:IBN524284 ILJ524275:ILJ524284 IVF524275:IVF524284 JFB524275:JFB524284 JOX524275:JOX524284 JYT524275:JYT524284 KIP524275:KIP524284 KSL524275:KSL524284 LCH524275:LCH524284 LMD524275:LMD524284 LVZ524275:LVZ524284 MFV524275:MFV524284 MPR524275:MPR524284 MZN524275:MZN524284 NJJ524275:NJJ524284 NTF524275:NTF524284 ODB524275:ODB524284 OMX524275:OMX524284 OWT524275:OWT524284 PGP524275:PGP524284 PQL524275:PQL524284 QAH524275:QAH524284 QKD524275:QKD524284 QTZ524275:QTZ524284 RDV524275:RDV524284 RNR524275:RNR524284 RXN524275:RXN524284 SHJ524275:SHJ524284 SRF524275:SRF524284 TBB524275:TBB524284 TKX524275:TKX524284 TUT524275:TUT524284 UEP524275:UEP524284 UOL524275:UOL524284 UYH524275:UYH524284 VID524275:VID524284 VRZ524275:VRZ524284 WBV524275:WBV524284 WLR524275:WLR524284 WVN524275:WVN524284 F589811:F589820 JB589811:JB589820 SX589811:SX589820 ACT589811:ACT589820 AMP589811:AMP589820 AWL589811:AWL589820 BGH589811:BGH589820 BQD589811:BQD589820 BZZ589811:BZZ589820 CJV589811:CJV589820 CTR589811:CTR589820 DDN589811:DDN589820 DNJ589811:DNJ589820 DXF589811:DXF589820 EHB589811:EHB589820 EQX589811:EQX589820 FAT589811:FAT589820 FKP589811:FKP589820 FUL589811:FUL589820 GEH589811:GEH589820 GOD589811:GOD589820 GXZ589811:GXZ589820 HHV589811:HHV589820 HRR589811:HRR589820 IBN589811:IBN589820 ILJ589811:ILJ589820 IVF589811:IVF589820 JFB589811:JFB589820 JOX589811:JOX589820 JYT589811:JYT589820 KIP589811:KIP589820 KSL589811:KSL589820 LCH589811:LCH589820 LMD589811:LMD589820 LVZ589811:LVZ589820 MFV589811:MFV589820 MPR589811:MPR589820 MZN589811:MZN589820 NJJ589811:NJJ589820 NTF589811:NTF589820 ODB589811:ODB589820 OMX589811:OMX589820 OWT589811:OWT589820 PGP589811:PGP589820 PQL589811:PQL589820 QAH589811:QAH589820 QKD589811:QKD589820 QTZ589811:QTZ589820 RDV589811:RDV589820 RNR589811:RNR589820 RXN589811:RXN589820 SHJ589811:SHJ589820 SRF589811:SRF589820 TBB589811:TBB589820 TKX589811:TKX589820 TUT589811:TUT589820 UEP589811:UEP589820 UOL589811:UOL589820 UYH589811:UYH589820 VID589811:VID589820 VRZ589811:VRZ589820 WBV589811:WBV589820 WLR589811:WLR589820 WVN589811:WVN589820 F655347:F655356 JB655347:JB655356 SX655347:SX655356 ACT655347:ACT655356 AMP655347:AMP655356 AWL655347:AWL655356 BGH655347:BGH655356 BQD655347:BQD655356 BZZ655347:BZZ655356 CJV655347:CJV655356 CTR655347:CTR655356 DDN655347:DDN655356 DNJ655347:DNJ655356 DXF655347:DXF655356 EHB655347:EHB655356 EQX655347:EQX655356 FAT655347:FAT655356 FKP655347:FKP655356 FUL655347:FUL655356 GEH655347:GEH655356 GOD655347:GOD655356 GXZ655347:GXZ655356 HHV655347:HHV655356 HRR655347:HRR655356 IBN655347:IBN655356 ILJ655347:ILJ655356 IVF655347:IVF655356 JFB655347:JFB655356 JOX655347:JOX655356 JYT655347:JYT655356 KIP655347:KIP655356 KSL655347:KSL655356 LCH655347:LCH655356 LMD655347:LMD655356 LVZ655347:LVZ655356 MFV655347:MFV655356 MPR655347:MPR655356 MZN655347:MZN655356 NJJ655347:NJJ655356 NTF655347:NTF655356 ODB655347:ODB655356 OMX655347:OMX655356 OWT655347:OWT655356 PGP655347:PGP655356 PQL655347:PQL655356 QAH655347:QAH655356 QKD655347:QKD655356 QTZ655347:QTZ655356 RDV655347:RDV655356 RNR655347:RNR655356 RXN655347:RXN655356 SHJ655347:SHJ655356 SRF655347:SRF655356 TBB655347:TBB655356 TKX655347:TKX655356 TUT655347:TUT655356 UEP655347:UEP655356 UOL655347:UOL655356 UYH655347:UYH655356 VID655347:VID655356 VRZ655347:VRZ655356 WBV655347:WBV655356 WLR655347:WLR655356 WVN655347:WVN655356 F720883:F720892 JB720883:JB720892 SX720883:SX720892 ACT720883:ACT720892 AMP720883:AMP720892 AWL720883:AWL720892 BGH720883:BGH720892 BQD720883:BQD720892 BZZ720883:BZZ720892 CJV720883:CJV720892 CTR720883:CTR720892 DDN720883:DDN720892 DNJ720883:DNJ720892 DXF720883:DXF720892 EHB720883:EHB720892 EQX720883:EQX720892 FAT720883:FAT720892 FKP720883:FKP720892 FUL720883:FUL720892 GEH720883:GEH720892 GOD720883:GOD720892 GXZ720883:GXZ720892 HHV720883:HHV720892 HRR720883:HRR720892 IBN720883:IBN720892 ILJ720883:ILJ720892 IVF720883:IVF720892 JFB720883:JFB720892 JOX720883:JOX720892 JYT720883:JYT720892 KIP720883:KIP720892 KSL720883:KSL720892 LCH720883:LCH720892 LMD720883:LMD720892 LVZ720883:LVZ720892 MFV720883:MFV720892 MPR720883:MPR720892 MZN720883:MZN720892 NJJ720883:NJJ720892 NTF720883:NTF720892 ODB720883:ODB720892 OMX720883:OMX720892 OWT720883:OWT720892 PGP720883:PGP720892 PQL720883:PQL720892 QAH720883:QAH720892 QKD720883:QKD720892 QTZ720883:QTZ720892 RDV720883:RDV720892 RNR720883:RNR720892 RXN720883:RXN720892 SHJ720883:SHJ720892 SRF720883:SRF720892 TBB720883:TBB720892 TKX720883:TKX720892 TUT720883:TUT720892 UEP720883:UEP720892 UOL720883:UOL720892 UYH720883:UYH720892 VID720883:VID720892 VRZ720883:VRZ720892 WBV720883:WBV720892 WLR720883:WLR720892 WVN720883:WVN720892 F786419:F786428 JB786419:JB786428 SX786419:SX786428 ACT786419:ACT786428 AMP786419:AMP786428 AWL786419:AWL786428 BGH786419:BGH786428 BQD786419:BQD786428 BZZ786419:BZZ786428 CJV786419:CJV786428 CTR786419:CTR786428 DDN786419:DDN786428 DNJ786419:DNJ786428 DXF786419:DXF786428 EHB786419:EHB786428 EQX786419:EQX786428 FAT786419:FAT786428 FKP786419:FKP786428 FUL786419:FUL786428 GEH786419:GEH786428 GOD786419:GOD786428 GXZ786419:GXZ786428 HHV786419:HHV786428 HRR786419:HRR786428 IBN786419:IBN786428 ILJ786419:ILJ786428 IVF786419:IVF786428 JFB786419:JFB786428 JOX786419:JOX786428 JYT786419:JYT786428 KIP786419:KIP786428 KSL786419:KSL786428 LCH786419:LCH786428 LMD786419:LMD786428 LVZ786419:LVZ786428 MFV786419:MFV786428 MPR786419:MPR786428 MZN786419:MZN786428 NJJ786419:NJJ786428 NTF786419:NTF786428 ODB786419:ODB786428 OMX786419:OMX786428 OWT786419:OWT786428 PGP786419:PGP786428 PQL786419:PQL786428 QAH786419:QAH786428 QKD786419:QKD786428 QTZ786419:QTZ786428 RDV786419:RDV786428 RNR786419:RNR786428 RXN786419:RXN786428 SHJ786419:SHJ786428 SRF786419:SRF786428 TBB786419:TBB786428 TKX786419:TKX786428 TUT786419:TUT786428 UEP786419:UEP786428 UOL786419:UOL786428 UYH786419:UYH786428 VID786419:VID786428 VRZ786419:VRZ786428 WBV786419:WBV786428 WLR786419:WLR786428 WVN786419:WVN786428 F851955:F851964 JB851955:JB851964 SX851955:SX851964 ACT851955:ACT851964 AMP851955:AMP851964 AWL851955:AWL851964 BGH851955:BGH851964 BQD851955:BQD851964 BZZ851955:BZZ851964 CJV851955:CJV851964 CTR851955:CTR851964 DDN851955:DDN851964 DNJ851955:DNJ851964 DXF851955:DXF851964 EHB851955:EHB851964 EQX851955:EQX851964 FAT851955:FAT851964 FKP851955:FKP851964 FUL851955:FUL851964 GEH851955:GEH851964 GOD851955:GOD851964 GXZ851955:GXZ851964 HHV851955:HHV851964 HRR851955:HRR851964 IBN851955:IBN851964 ILJ851955:ILJ851964 IVF851955:IVF851964 JFB851955:JFB851964 JOX851955:JOX851964 JYT851955:JYT851964 KIP851955:KIP851964 KSL851955:KSL851964 LCH851955:LCH851964 LMD851955:LMD851964 LVZ851955:LVZ851964 MFV851955:MFV851964 MPR851955:MPR851964 MZN851955:MZN851964 NJJ851955:NJJ851964 NTF851955:NTF851964 ODB851955:ODB851964 OMX851955:OMX851964 OWT851955:OWT851964 PGP851955:PGP851964 PQL851955:PQL851964 QAH851955:QAH851964 QKD851955:QKD851964 QTZ851955:QTZ851964 RDV851955:RDV851964 RNR851955:RNR851964 RXN851955:RXN851964 SHJ851955:SHJ851964 SRF851955:SRF851964 TBB851955:TBB851964 TKX851955:TKX851964 TUT851955:TUT851964 UEP851955:UEP851964 UOL851955:UOL851964 UYH851955:UYH851964 VID851955:VID851964 VRZ851955:VRZ851964 WBV851955:WBV851964 WLR851955:WLR851964 WVN851955:WVN851964 F917491:F917500 JB917491:JB917500 SX917491:SX917500 ACT917491:ACT917500 AMP917491:AMP917500 AWL917491:AWL917500 BGH917491:BGH917500 BQD917491:BQD917500 BZZ917491:BZZ917500 CJV917491:CJV917500 CTR917491:CTR917500 DDN917491:DDN917500 DNJ917491:DNJ917500 DXF917491:DXF917500 EHB917491:EHB917500 EQX917491:EQX917500 FAT917491:FAT917500 FKP917491:FKP917500 FUL917491:FUL917500 GEH917491:GEH917500 GOD917491:GOD917500 GXZ917491:GXZ917500 HHV917491:HHV917500 HRR917491:HRR917500 IBN917491:IBN917500 ILJ917491:ILJ917500 IVF917491:IVF917500 JFB917491:JFB917500 JOX917491:JOX917500 JYT917491:JYT917500 KIP917491:KIP917500 KSL917491:KSL917500 LCH917491:LCH917500 LMD917491:LMD917500 LVZ917491:LVZ917500 MFV917491:MFV917500 MPR917491:MPR917500 MZN917491:MZN917500 NJJ917491:NJJ917500 NTF917491:NTF917500 ODB917491:ODB917500 OMX917491:OMX917500 OWT917491:OWT917500 PGP917491:PGP917500 PQL917491:PQL917500 QAH917491:QAH917500 QKD917491:QKD917500 QTZ917491:QTZ917500 RDV917491:RDV917500 RNR917491:RNR917500 RXN917491:RXN917500 SHJ917491:SHJ917500 SRF917491:SRF917500 TBB917491:TBB917500 TKX917491:TKX917500 TUT917491:TUT917500 UEP917491:UEP917500 UOL917491:UOL917500 UYH917491:UYH917500 VID917491:VID917500 VRZ917491:VRZ917500 WBV917491:WBV917500 WLR917491:WLR917500 WVN917491:WVN917500 F983027:F983036 JB983027:JB983036 SX983027:SX983036 ACT983027:ACT983036 AMP983027:AMP983036 AWL983027:AWL983036 BGH983027:BGH983036 BQD983027:BQD983036 BZZ983027:BZZ983036 CJV983027:CJV983036 CTR983027:CTR983036 DDN983027:DDN983036 DNJ983027:DNJ983036 DXF983027:DXF983036 EHB983027:EHB983036 EQX983027:EQX983036 FAT983027:FAT983036 FKP983027:FKP983036 FUL983027:FUL983036 GEH983027:GEH983036 GOD983027:GOD983036 GXZ983027:GXZ983036 HHV983027:HHV983036 HRR983027:HRR983036 IBN983027:IBN983036 ILJ983027:ILJ983036 IVF983027:IVF983036 JFB983027:JFB983036 JOX983027:JOX983036 JYT983027:JYT983036 KIP983027:KIP983036 KSL983027:KSL983036 LCH983027:LCH983036 LMD983027:LMD983036 LVZ983027:LVZ983036 MFV983027:MFV983036 MPR983027:MPR983036 MZN983027:MZN983036 NJJ983027:NJJ983036 NTF983027:NTF983036 ODB983027:ODB983036 OMX983027:OMX983036 OWT983027:OWT983036 PGP983027:PGP983036 PQL983027:PQL983036 QAH983027:QAH983036 QKD983027:QKD983036 QTZ983027:QTZ983036 RDV983027:RDV983036 RNR983027:RNR983036 RXN983027:RXN983036 SHJ983027:SHJ983036 SRF983027:SRF983036 TBB983027:TBB983036 TKX983027:TKX983036 TUT983027:TUT983036 UEP983027:UEP983036 UOL983027:UOL983036 UYH983027:UYH983036 VID983027:VID983036 VRZ983027:VRZ983036 WBV983027:WBV983036 WLR983027:WLR983036 WVN983027:WVN983036 F87:F91 IQ23:IQ36 SM23:SM36 ACI23:ACI36 AME23:AME36 AWA23:AWA36 BFW23:BFW36 BPS23:BPS36 BZO23:BZO36 CJK23:CJK36 CTG23:CTG36 DDC23:DDC36 DMY23:DMY36 DWU23:DWU36 EGQ23:EGQ36 EQM23:EQM36 FAI23:FAI36 FKE23:FKE36 FUA23:FUA36 GDW23:GDW36 GNS23:GNS36 GXO23:GXO36 HHK23:HHK36 HRG23:HRG36 IBC23:IBC36 IKY23:IKY36 IUU23:IUU36 JEQ23:JEQ36 JOM23:JOM36 JYI23:JYI36 KIE23:KIE36 KSA23:KSA36 LBW23:LBW36 LLS23:LLS36 LVO23:LVO36 MFK23:MFK36 MPG23:MPG36 MZC23:MZC36 NIY23:NIY36 NSU23:NSU36 OCQ23:OCQ36 OMM23:OMM36 OWI23:OWI36 PGE23:PGE36 PQA23:PQA36 PZW23:PZW36 QJS23:QJS36 QTO23:QTO36 RDK23:RDK36 RNG23:RNG36 RXC23:RXC36 SGY23:SGY36 SQU23:SQU36 TAQ23:TAQ36 TKM23:TKM36 TUI23:TUI36 UEE23:UEE36 UOA23:UOA36 UXW23:UXW36 VHS23:VHS36 VRO23:VRO36 WBK23:WBK36 WLG23:WLG36 WVC23:WVC36 F65505:F65518 JB65505:JB65518 SX65505:SX65518 ACT65505:ACT65518 AMP65505:AMP65518 AWL65505:AWL65518 BGH65505:BGH65518 BQD65505:BQD65518 BZZ65505:BZZ65518 CJV65505:CJV65518 CTR65505:CTR65518 DDN65505:DDN65518 DNJ65505:DNJ65518 DXF65505:DXF65518 EHB65505:EHB65518 EQX65505:EQX65518 FAT65505:FAT65518 FKP65505:FKP65518 FUL65505:FUL65518 GEH65505:GEH65518 GOD65505:GOD65518 GXZ65505:GXZ65518 HHV65505:HHV65518 HRR65505:HRR65518 IBN65505:IBN65518 ILJ65505:ILJ65518 IVF65505:IVF65518 JFB65505:JFB65518 JOX65505:JOX65518 JYT65505:JYT65518 KIP65505:KIP65518 KSL65505:KSL65518 LCH65505:LCH65518 LMD65505:LMD65518 LVZ65505:LVZ65518 MFV65505:MFV65518 MPR65505:MPR65518 MZN65505:MZN65518 NJJ65505:NJJ65518 NTF65505:NTF65518 ODB65505:ODB65518 OMX65505:OMX65518 OWT65505:OWT65518 PGP65505:PGP65518 PQL65505:PQL65518 QAH65505:QAH65518 QKD65505:QKD65518 QTZ65505:QTZ65518 RDV65505:RDV65518 RNR65505:RNR65518 RXN65505:RXN65518 SHJ65505:SHJ65518 SRF65505:SRF65518 TBB65505:TBB65518 TKX65505:TKX65518 TUT65505:TUT65518 UEP65505:UEP65518 UOL65505:UOL65518 UYH65505:UYH65518 VID65505:VID65518 VRZ65505:VRZ65518 WBV65505:WBV65518 WLR65505:WLR65518 WVN65505:WVN65518 F131041:F131054 JB131041:JB131054 SX131041:SX131054 ACT131041:ACT131054 AMP131041:AMP131054 AWL131041:AWL131054 BGH131041:BGH131054 BQD131041:BQD131054 BZZ131041:BZZ131054 CJV131041:CJV131054 CTR131041:CTR131054 DDN131041:DDN131054 DNJ131041:DNJ131054 DXF131041:DXF131054 EHB131041:EHB131054 EQX131041:EQX131054 FAT131041:FAT131054 FKP131041:FKP131054 FUL131041:FUL131054 GEH131041:GEH131054 GOD131041:GOD131054 GXZ131041:GXZ131054 HHV131041:HHV131054 HRR131041:HRR131054 IBN131041:IBN131054 ILJ131041:ILJ131054 IVF131041:IVF131054 JFB131041:JFB131054 JOX131041:JOX131054 JYT131041:JYT131054 KIP131041:KIP131054 KSL131041:KSL131054 LCH131041:LCH131054 LMD131041:LMD131054 LVZ131041:LVZ131054 MFV131041:MFV131054 MPR131041:MPR131054 MZN131041:MZN131054 NJJ131041:NJJ131054 NTF131041:NTF131054 ODB131041:ODB131054 OMX131041:OMX131054 OWT131041:OWT131054 PGP131041:PGP131054 PQL131041:PQL131054 QAH131041:QAH131054 QKD131041:QKD131054 QTZ131041:QTZ131054 RDV131041:RDV131054 RNR131041:RNR131054 RXN131041:RXN131054 SHJ131041:SHJ131054 SRF131041:SRF131054 TBB131041:TBB131054 TKX131041:TKX131054 TUT131041:TUT131054 UEP131041:UEP131054 UOL131041:UOL131054 UYH131041:UYH131054 VID131041:VID131054 VRZ131041:VRZ131054 WBV131041:WBV131054 WLR131041:WLR131054 WVN131041:WVN131054 F196577:F196590 JB196577:JB196590 SX196577:SX196590 ACT196577:ACT196590 AMP196577:AMP196590 AWL196577:AWL196590 BGH196577:BGH196590 BQD196577:BQD196590 BZZ196577:BZZ196590 CJV196577:CJV196590 CTR196577:CTR196590 DDN196577:DDN196590 DNJ196577:DNJ196590 DXF196577:DXF196590 EHB196577:EHB196590 EQX196577:EQX196590 FAT196577:FAT196590 FKP196577:FKP196590 FUL196577:FUL196590 GEH196577:GEH196590 GOD196577:GOD196590 GXZ196577:GXZ196590 HHV196577:HHV196590 HRR196577:HRR196590 IBN196577:IBN196590 ILJ196577:ILJ196590 IVF196577:IVF196590 JFB196577:JFB196590 JOX196577:JOX196590 JYT196577:JYT196590 KIP196577:KIP196590 KSL196577:KSL196590 LCH196577:LCH196590 LMD196577:LMD196590 LVZ196577:LVZ196590 MFV196577:MFV196590 MPR196577:MPR196590 MZN196577:MZN196590 NJJ196577:NJJ196590 NTF196577:NTF196590 ODB196577:ODB196590 OMX196577:OMX196590 OWT196577:OWT196590 PGP196577:PGP196590 PQL196577:PQL196590 QAH196577:QAH196590 QKD196577:QKD196590 QTZ196577:QTZ196590 RDV196577:RDV196590 RNR196577:RNR196590 RXN196577:RXN196590 SHJ196577:SHJ196590 SRF196577:SRF196590 TBB196577:TBB196590 TKX196577:TKX196590 TUT196577:TUT196590 UEP196577:UEP196590 UOL196577:UOL196590 UYH196577:UYH196590 VID196577:VID196590 VRZ196577:VRZ196590 WBV196577:WBV196590 WLR196577:WLR196590 WVN196577:WVN196590 F262113:F262126 JB262113:JB262126 SX262113:SX262126 ACT262113:ACT262126 AMP262113:AMP262126 AWL262113:AWL262126 BGH262113:BGH262126 BQD262113:BQD262126 BZZ262113:BZZ262126 CJV262113:CJV262126 CTR262113:CTR262126 DDN262113:DDN262126 DNJ262113:DNJ262126 DXF262113:DXF262126 EHB262113:EHB262126 EQX262113:EQX262126 FAT262113:FAT262126 FKP262113:FKP262126 FUL262113:FUL262126 GEH262113:GEH262126 GOD262113:GOD262126 GXZ262113:GXZ262126 HHV262113:HHV262126 HRR262113:HRR262126 IBN262113:IBN262126 ILJ262113:ILJ262126 IVF262113:IVF262126 JFB262113:JFB262126 JOX262113:JOX262126 JYT262113:JYT262126 KIP262113:KIP262126 KSL262113:KSL262126 LCH262113:LCH262126 LMD262113:LMD262126 LVZ262113:LVZ262126 MFV262113:MFV262126 MPR262113:MPR262126 MZN262113:MZN262126 NJJ262113:NJJ262126 NTF262113:NTF262126 ODB262113:ODB262126 OMX262113:OMX262126 OWT262113:OWT262126 PGP262113:PGP262126 PQL262113:PQL262126 QAH262113:QAH262126 QKD262113:QKD262126 QTZ262113:QTZ262126 RDV262113:RDV262126 RNR262113:RNR262126 RXN262113:RXN262126 SHJ262113:SHJ262126 SRF262113:SRF262126 TBB262113:TBB262126 TKX262113:TKX262126 TUT262113:TUT262126 UEP262113:UEP262126 UOL262113:UOL262126 UYH262113:UYH262126 VID262113:VID262126 VRZ262113:VRZ262126 WBV262113:WBV262126 WLR262113:WLR262126 WVN262113:WVN262126 F327649:F327662 JB327649:JB327662 SX327649:SX327662 ACT327649:ACT327662 AMP327649:AMP327662 AWL327649:AWL327662 BGH327649:BGH327662 BQD327649:BQD327662 BZZ327649:BZZ327662 CJV327649:CJV327662 CTR327649:CTR327662 DDN327649:DDN327662 DNJ327649:DNJ327662 DXF327649:DXF327662 EHB327649:EHB327662 EQX327649:EQX327662 FAT327649:FAT327662 FKP327649:FKP327662 FUL327649:FUL327662 GEH327649:GEH327662 GOD327649:GOD327662 GXZ327649:GXZ327662 HHV327649:HHV327662 HRR327649:HRR327662 IBN327649:IBN327662 ILJ327649:ILJ327662 IVF327649:IVF327662 JFB327649:JFB327662 JOX327649:JOX327662 JYT327649:JYT327662 KIP327649:KIP327662 KSL327649:KSL327662 LCH327649:LCH327662 LMD327649:LMD327662 LVZ327649:LVZ327662 MFV327649:MFV327662 MPR327649:MPR327662 MZN327649:MZN327662 NJJ327649:NJJ327662 NTF327649:NTF327662 ODB327649:ODB327662 OMX327649:OMX327662 OWT327649:OWT327662 PGP327649:PGP327662 PQL327649:PQL327662 QAH327649:QAH327662 QKD327649:QKD327662 QTZ327649:QTZ327662 RDV327649:RDV327662 RNR327649:RNR327662 RXN327649:RXN327662 SHJ327649:SHJ327662 SRF327649:SRF327662 TBB327649:TBB327662 TKX327649:TKX327662 TUT327649:TUT327662 UEP327649:UEP327662 UOL327649:UOL327662 UYH327649:UYH327662 VID327649:VID327662 VRZ327649:VRZ327662 WBV327649:WBV327662 WLR327649:WLR327662 WVN327649:WVN327662 F393185:F393198 JB393185:JB393198 SX393185:SX393198 ACT393185:ACT393198 AMP393185:AMP393198 AWL393185:AWL393198 BGH393185:BGH393198 BQD393185:BQD393198 BZZ393185:BZZ393198 CJV393185:CJV393198 CTR393185:CTR393198 DDN393185:DDN393198 DNJ393185:DNJ393198 DXF393185:DXF393198 EHB393185:EHB393198 EQX393185:EQX393198 FAT393185:FAT393198 FKP393185:FKP393198 FUL393185:FUL393198 GEH393185:GEH393198 GOD393185:GOD393198 GXZ393185:GXZ393198 HHV393185:HHV393198 HRR393185:HRR393198 IBN393185:IBN393198 ILJ393185:ILJ393198 IVF393185:IVF393198 JFB393185:JFB393198 JOX393185:JOX393198 JYT393185:JYT393198 KIP393185:KIP393198 KSL393185:KSL393198 LCH393185:LCH393198 LMD393185:LMD393198 LVZ393185:LVZ393198 MFV393185:MFV393198 MPR393185:MPR393198 MZN393185:MZN393198 NJJ393185:NJJ393198 NTF393185:NTF393198 ODB393185:ODB393198 OMX393185:OMX393198 OWT393185:OWT393198 PGP393185:PGP393198 PQL393185:PQL393198 QAH393185:QAH393198 QKD393185:QKD393198 QTZ393185:QTZ393198 RDV393185:RDV393198 RNR393185:RNR393198 RXN393185:RXN393198 SHJ393185:SHJ393198 SRF393185:SRF393198 TBB393185:TBB393198 TKX393185:TKX393198 TUT393185:TUT393198 UEP393185:UEP393198 UOL393185:UOL393198 UYH393185:UYH393198 VID393185:VID393198 VRZ393185:VRZ393198 WBV393185:WBV393198 WLR393185:WLR393198 WVN393185:WVN393198 F458721:F458734 JB458721:JB458734 SX458721:SX458734 ACT458721:ACT458734 AMP458721:AMP458734 AWL458721:AWL458734 BGH458721:BGH458734 BQD458721:BQD458734 BZZ458721:BZZ458734 CJV458721:CJV458734 CTR458721:CTR458734 DDN458721:DDN458734 DNJ458721:DNJ458734 DXF458721:DXF458734 EHB458721:EHB458734 EQX458721:EQX458734 FAT458721:FAT458734 FKP458721:FKP458734 FUL458721:FUL458734 GEH458721:GEH458734 GOD458721:GOD458734 GXZ458721:GXZ458734 HHV458721:HHV458734 HRR458721:HRR458734 IBN458721:IBN458734 ILJ458721:ILJ458734 IVF458721:IVF458734 JFB458721:JFB458734 JOX458721:JOX458734 JYT458721:JYT458734 KIP458721:KIP458734 KSL458721:KSL458734 LCH458721:LCH458734 LMD458721:LMD458734 LVZ458721:LVZ458734 MFV458721:MFV458734 MPR458721:MPR458734 MZN458721:MZN458734 NJJ458721:NJJ458734 NTF458721:NTF458734 ODB458721:ODB458734 OMX458721:OMX458734 OWT458721:OWT458734 PGP458721:PGP458734 PQL458721:PQL458734 QAH458721:QAH458734 QKD458721:QKD458734 QTZ458721:QTZ458734 RDV458721:RDV458734 RNR458721:RNR458734 RXN458721:RXN458734 SHJ458721:SHJ458734 SRF458721:SRF458734 TBB458721:TBB458734 TKX458721:TKX458734 TUT458721:TUT458734 UEP458721:UEP458734 UOL458721:UOL458734 UYH458721:UYH458734 VID458721:VID458734 VRZ458721:VRZ458734 WBV458721:WBV458734 WLR458721:WLR458734 WVN458721:WVN458734 F524257:F524270 JB524257:JB524270 SX524257:SX524270 ACT524257:ACT524270 AMP524257:AMP524270 AWL524257:AWL524270 BGH524257:BGH524270 BQD524257:BQD524270 BZZ524257:BZZ524270 CJV524257:CJV524270 CTR524257:CTR524270 DDN524257:DDN524270 DNJ524257:DNJ524270 DXF524257:DXF524270 EHB524257:EHB524270 EQX524257:EQX524270 FAT524257:FAT524270 FKP524257:FKP524270 FUL524257:FUL524270 GEH524257:GEH524270 GOD524257:GOD524270 GXZ524257:GXZ524270 HHV524257:HHV524270 HRR524257:HRR524270 IBN524257:IBN524270 ILJ524257:ILJ524270 IVF524257:IVF524270 JFB524257:JFB524270 JOX524257:JOX524270 JYT524257:JYT524270 KIP524257:KIP524270 KSL524257:KSL524270 LCH524257:LCH524270 LMD524257:LMD524270 LVZ524257:LVZ524270 MFV524257:MFV524270 MPR524257:MPR524270 MZN524257:MZN524270 NJJ524257:NJJ524270 NTF524257:NTF524270 ODB524257:ODB524270 OMX524257:OMX524270 OWT524257:OWT524270 PGP524257:PGP524270 PQL524257:PQL524270 QAH524257:QAH524270 QKD524257:QKD524270 QTZ524257:QTZ524270 RDV524257:RDV524270 RNR524257:RNR524270 RXN524257:RXN524270 SHJ524257:SHJ524270 SRF524257:SRF524270 TBB524257:TBB524270 TKX524257:TKX524270 TUT524257:TUT524270 UEP524257:UEP524270 UOL524257:UOL524270 UYH524257:UYH524270 VID524257:VID524270 VRZ524257:VRZ524270 WBV524257:WBV524270 WLR524257:WLR524270 WVN524257:WVN524270 F589793:F589806 JB589793:JB589806 SX589793:SX589806 ACT589793:ACT589806 AMP589793:AMP589806 AWL589793:AWL589806 BGH589793:BGH589806 BQD589793:BQD589806 BZZ589793:BZZ589806 CJV589793:CJV589806 CTR589793:CTR589806 DDN589793:DDN589806 DNJ589793:DNJ589806 DXF589793:DXF589806 EHB589793:EHB589806 EQX589793:EQX589806 FAT589793:FAT589806 FKP589793:FKP589806 FUL589793:FUL589806 GEH589793:GEH589806 GOD589793:GOD589806 GXZ589793:GXZ589806 HHV589793:HHV589806 HRR589793:HRR589806 IBN589793:IBN589806 ILJ589793:ILJ589806 IVF589793:IVF589806 JFB589793:JFB589806 JOX589793:JOX589806 JYT589793:JYT589806 KIP589793:KIP589806 KSL589793:KSL589806 LCH589793:LCH589806 LMD589793:LMD589806 LVZ589793:LVZ589806 MFV589793:MFV589806 MPR589793:MPR589806 MZN589793:MZN589806 NJJ589793:NJJ589806 NTF589793:NTF589806 ODB589793:ODB589806 OMX589793:OMX589806 OWT589793:OWT589806 PGP589793:PGP589806 PQL589793:PQL589806 QAH589793:QAH589806 QKD589793:QKD589806 QTZ589793:QTZ589806 RDV589793:RDV589806 RNR589793:RNR589806 RXN589793:RXN589806 SHJ589793:SHJ589806 SRF589793:SRF589806 TBB589793:TBB589806 TKX589793:TKX589806 TUT589793:TUT589806 UEP589793:UEP589806 UOL589793:UOL589806 UYH589793:UYH589806 VID589793:VID589806 VRZ589793:VRZ589806 WBV589793:WBV589806 WLR589793:WLR589806 WVN589793:WVN589806 F655329:F655342 JB655329:JB655342 SX655329:SX655342 ACT655329:ACT655342 AMP655329:AMP655342 AWL655329:AWL655342 BGH655329:BGH655342 BQD655329:BQD655342 BZZ655329:BZZ655342 CJV655329:CJV655342 CTR655329:CTR655342 DDN655329:DDN655342 DNJ655329:DNJ655342 DXF655329:DXF655342 EHB655329:EHB655342 EQX655329:EQX655342 FAT655329:FAT655342 FKP655329:FKP655342 FUL655329:FUL655342 GEH655329:GEH655342 GOD655329:GOD655342 GXZ655329:GXZ655342 HHV655329:HHV655342 HRR655329:HRR655342 IBN655329:IBN655342 ILJ655329:ILJ655342 IVF655329:IVF655342 JFB655329:JFB655342 JOX655329:JOX655342 JYT655329:JYT655342 KIP655329:KIP655342 KSL655329:KSL655342 LCH655329:LCH655342 LMD655329:LMD655342 LVZ655329:LVZ655342 MFV655329:MFV655342 MPR655329:MPR655342 MZN655329:MZN655342 NJJ655329:NJJ655342 NTF655329:NTF655342 ODB655329:ODB655342 OMX655329:OMX655342 OWT655329:OWT655342 PGP655329:PGP655342 PQL655329:PQL655342 QAH655329:QAH655342 QKD655329:QKD655342 QTZ655329:QTZ655342 RDV655329:RDV655342 RNR655329:RNR655342 RXN655329:RXN655342 SHJ655329:SHJ655342 SRF655329:SRF655342 TBB655329:TBB655342 TKX655329:TKX655342 TUT655329:TUT655342 UEP655329:UEP655342 UOL655329:UOL655342 UYH655329:UYH655342 VID655329:VID655342 VRZ655329:VRZ655342 WBV655329:WBV655342 WLR655329:WLR655342 WVN655329:WVN655342 F720865:F720878 JB720865:JB720878 SX720865:SX720878 ACT720865:ACT720878 AMP720865:AMP720878 AWL720865:AWL720878 BGH720865:BGH720878 BQD720865:BQD720878 BZZ720865:BZZ720878 CJV720865:CJV720878 CTR720865:CTR720878 DDN720865:DDN720878 DNJ720865:DNJ720878 DXF720865:DXF720878 EHB720865:EHB720878 EQX720865:EQX720878 FAT720865:FAT720878 FKP720865:FKP720878 FUL720865:FUL720878 GEH720865:GEH720878 GOD720865:GOD720878 GXZ720865:GXZ720878 HHV720865:HHV720878 HRR720865:HRR720878 IBN720865:IBN720878 ILJ720865:ILJ720878 IVF720865:IVF720878 JFB720865:JFB720878 JOX720865:JOX720878 JYT720865:JYT720878 KIP720865:KIP720878 KSL720865:KSL720878 LCH720865:LCH720878 LMD720865:LMD720878 LVZ720865:LVZ720878 MFV720865:MFV720878 MPR720865:MPR720878 MZN720865:MZN720878 NJJ720865:NJJ720878 NTF720865:NTF720878 ODB720865:ODB720878 OMX720865:OMX720878 OWT720865:OWT720878 PGP720865:PGP720878 PQL720865:PQL720878 QAH720865:QAH720878 QKD720865:QKD720878 QTZ720865:QTZ720878 RDV720865:RDV720878 RNR720865:RNR720878 RXN720865:RXN720878 SHJ720865:SHJ720878 SRF720865:SRF720878 TBB720865:TBB720878 TKX720865:TKX720878 TUT720865:TUT720878 UEP720865:UEP720878 UOL720865:UOL720878 UYH720865:UYH720878 VID720865:VID720878 VRZ720865:VRZ720878 WBV720865:WBV720878 WLR720865:WLR720878 WVN720865:WVN720878 F786401:F786414 JB786401:JB786414 SX786401:SX786414 ACT786401:ACT786414 AMP786401:AMP786414 AWL786401:AWL786414 BGH786401:BGH786414 BQD786401:BQD786414 BZZ786401:BZZ786414 CJV786401:CJV786414 CTR786401:CTR786414 DDN786401:DDN786414 DNJ786401:DNJ786414 DXF786401:DXF786414 EHB786401:EHB786414 EQX786401:EQX786414 FAT786401:FAT786414 FKP786401:FKP786414 FUL786401:FUL786414 GEH786401:GEH786414 GOD786401:GOD786414 GXZ786401:GXZ786414 HHV786401:HHV786414 HRR786401:HRR786414 IBN786401:IBN786414 ILJ786401:ILJ786414 IVF786401:IVF786414 JFB786401:JFB786414 JOX786401:JOX786414 JYT786401:JYT786414 KIP786401:KIP786414 KSL786401:KSL786414 LCH786401:LCH786414 LMD786401:LMD786414 LVZ786401:LVZ786414 MFV786401:MFV786414 MPR786401:MPR786414 MZN786401:MZN786414 NJJ786401:NJJ786414 NTF786401:NTF786414 ODB786401:ODB786414 OMX786401:OMX786414 OWT786401:OWT786414 PGP786401:PGP786414 PQL786401:PQL786414 QAH786401:QAH786414 QKD786401:QKD786414 QTZ786401:QTZ786414 RDV786401:RDV786414 RNR786401:RNR786414 RXN786401:RXN786414 SHJ786401:SHJ786414 SRF786401:SRF786414 TBB786401:TBB786414 TKX786401:TKX786414 TUT786401:TUT786414 UEP786401:UEP786414 UOL786401:UOL786414 UYH786401:UYH786414 VID786401:VID786414 VRZ786401:VRZ786414 WBV786401:WBV786414 WLR786401:WLR786414 WVN786401:WVN786414 F851937:F851950 JB851937:JB851950 SX851937:SX851950 ACT851937:ACT851950 AMP851937:AMP851950 AWL851937:AWL851950 BGH851937:BGH851950 BQD851937:BQD851950 BZZ851937:BZZ851950 CJV851937:CJV851950 CTR851937:CTR851950 DDN851937:DDN851950 DNJ851937:DNJ851950 DXF851937:DXF851950 EHB851937:EHB851950 EQX851937:EQX851950 FAT851937:FAT851950 FKP851937:FKP851950 FUL851937:FUL851950 GEH851937:GEH851950 GOD851937:GOD851950 GXZ851937:GXZ851950 HHV851937:HHV851950 HRR851937:HRR851950 IBN851937:IBN851950 ILJ851937:ILJ851950 IVF851937:IVF851950 JFB851937:JFB851950 JOX851937:JOX851950 JYT851937:JYT851950 KIP851937:KIP851950 KSL851937:KSL851950 LCH851937:LCH851950 LMD851937:LMD851950 LVZ851937:LVZ851950 MFV851937:MFV851950 MPR851937:MPR851950 MZN851937:MZN851950 NJJ851937:NJJ851950 NTF851937:NTF851950 ODB851937:ODB851950 OMX851937:OMX851950 OWT851937:OWT851950 PGP851937:PGP851950 PQL851937:PQL851950 QAH851937:QAH851950 QKD851937:QKD851950 QTZ851937:QTZ851950 RDV851937:RDV851950 RNR851937:RNR851950 RXN851937:RXN851950 SHJ851937:SHJ851950 SRF851937:SRF851950 TBB851937:TBB851950 TKX851937:TKX851950 TUT851937:TUT851950 UEP851937:UEP851950 UOL851937:UOL851950 UYH851937:UYH851950 VID851937:VID851950 VRZ851937:VRZ851950 WBV851937:WBV851950 WLR851937:WLR851950 WVN851937:WVN851950 F917473:F917486 JB917473:JB917486 SX917473:SX917486 ACT917473:ACT917486 AMP917473:AMP917486 AWL917473:AWL917486 BGH917473:BGH917486 BQD917473:BQD917486 BZZ917473:BZZ917486 CJV917473:CJV917486 CTR917473:CTR917486 DDN917473:DDN917486 DNJ917473:DNJ917486 DXF917473:DXF917486 EHB917473:EHB917486 EQX917473:EQX917486 FAT917473:FAT917486 FKP917473:FKP917486 FUL917473:FUL917486 GEH917473:GEH917486 GOD917473:GOD917486 GXZ917473:GXZ917486 HHV917473:HHV917486 HRR917473:HRR917486 IBN917473:IBN917486 ILJ917473:ILJ917486 IVF917473:IVF917486 JFB917473:JFB917486 JOX917473:JOX917486 JYT917473:JYT917486 KIP917473:KIP917486 KSL917473:KSL917486 LCH917473:LCH917486 LMD917473:LMD917486 LVZ917473:LVZ917486 MFV917473:MFV917486 MPR917473:MPR917486 MZN917473:MZN917486 NJJ917473:NJJ917486 NTF917473:NTF917486 ODB917473:ODB917486 OMX917473:OMX917486 OWT917473:OWT917486 PGP917473:PGP917486 PQL917473:PQL917486 QAH917473:QAH917486 QKD917473:QKD917486 QTZ917473:QTZ917486 RDV917473:RDV917486 RNR917473:RNR917486 RXN917473:RXN917486 SHJ917473:SHJ917486 SRF917473:SRF917486 TBB917473:TBB917486 TKX917473:TKX917486 TUT917473:TUT917486 UEP917473:UEP917486 UOL917473:UOL917486 UYH917473:UYH917486 VID917473:VID917486 VRZ917473:VRZ917486 WBV917473:WBV917486 WLR917473:WLR917486 WVN917473:WVN917486 F983009:F983022 JB983009:JB983022 SX983009:SX983022 ACT983009:ACT983022 AMP983009:AMP983022 AWL983009:AWL983022 BGH983009:BGH983022 BQD983009:BQD983022 BZZ983009:BZZ983022 CJV983009:CJV983022 CTR983009:CTR983022 DDN983009:DDN983022 DNJ983009:DNJ983022 DXF983009:DXF983022 EHB983009:EHB983022 EQX983009:EQX983022 FAT983009:FAT983022 FKP983009:FKP983022 FUL983009:FUL983022 GEH983009:GEH983022 GOD983009:GOD983022 GXZ983009:GXZ983022 HHV983009:HHV983022 HRR983009:HRR983022 IBN983009:IBN983022 ILJ983009:ILJ983022 IVF983009:IVF983022 JFB983009:JFB983022 JOX983009:JOX983022 JYT983009:JYT983022 KIP983009:KIP983022 KSL983009:KSL983022 LCH983009:LCH983022 LMD983009:LMD983022 LVZ983009:LVZ983022 MFV983009:MFV983022 MPR983009:MPR983022 MZN983009:MZN983022 NJJ983009:NJJ983022 NTF983009:NTF983022 ODB983009:ODB983022 OMX983009:OMX983022 OWT983009:OWT983022 PGP983009:PGP983022 PQL983009:PQL983022 QAH983009:QAH983022 QKD983009:QKD983022 QTZ983009:QTZ983022 RDV983009:RDV983022 RNR983009:RNR983022 RXN983009:RXN983022 SHJ983009:SHJ983022 SRF983009:SRF983022 TBB983009:TBB983022 TKX983009:TKX983022 TUT983009:TUT983022 UEP983009:UEP983022 UOL983009:UOL983022 UYH983009:UYH983022 VID983009:VID983022 VRZ983009:VRZ983022 WBV983009:WBV983022 WLR983009:WLR983022 WVN983009:WVN983022 WVK47:WVK50 WVO41:WVO46 WLO47:WLO50 WLS41:WLS46 WBS47:WBS50 WBW41:WBW46 VRW47:VRW50 VSA41:VSA46 VIA47:VIA50 VIE41:VIE46 UYE47:UYE50 UYI41:UYI46 UOI47:UOI50 UOM41:UOM46 UEM47:UEM50 UEQ41:UEQ46 TUQ47:TUQ50 TUU41:TUU46 TKU47:TKU50 TKY41:TKY46 TAY47:TAY50 TBC41:TBC46 SRC47:SRC50 SRG41:SRG46 SHG47:SHG50 SHK41:SHK46 RXK47:RXK50 RXO41:RXO46 RNO47:RNO50 RNS41:RNS46 RDS47:RDS50 RDW41:RDW46 QTW47:QTW50 QUA41:QUA46 QKA47:QKA50 QKE41:QKE46 QAE47:QAE50 QAI41:QAI46 PQI47:PQI50 PQM41:PQM46 PGM47:PGM50 PGQ41:PGQ46 OWQ47:OWQ50 OWU41:OWU46 OMU47:OMU50 OMY41:OMY46 OCY47:OCY50 ODC41:ODC46 NTC47:NTC50 NTG41:NTG46 NJG47:NJG50 NJK41:NJK46 MZK47:MZK50 MZO41:MZO46 MPO47:MPO50 MPS41:MPS46 MFS47:MFS50 MFW41:MFW46 LVW47:LVW50 LWA41:LWA46 LMA47:LMA50 LME41:LME46 LCE47:LCE50 LCI41:LCI46 KSI47:KSI50 KSM41:KSM46 KIM47:KIM50 KIQ41:KIQ46 JYQ47:JYQ50 JYU41:JYU46 JOU47:JOU50 JOY41:JOY46 JEY47:JEY50 JFC41:JFC46 IVC47:IVC50 IVG41:IVG46 ILG47:ILG50 ILK41:ILK46 IBK47:IBK50 IBO41:IBO46 HRO47:HRO50 HRS41:HRS46 HHS47:HHS50 HHW41:HHW46 GXW47:GXW50 GYA41:GYA46 GOA47:GOA50 GOE41:GOE46 GEE47:GEE50 GEI41:GEI46 FUI47:FUI50 FUM41:FUM46 FKM47:FKM50 FKQ41:FKQ46 FAQ47:FAQ50 FAU41:FAU46 EQU47:EQU50 EQY41:EQY46 EGY47:EGY50 EHC41:EHC46 DXC47:DXC50 DXG41:DXG46 DNG47:DNG50 DNK41:DNK46 DDK47:DDK50 DDO41:DDO46 CTO47:CTO50 CTS41:CTS46 CJS47:CJS50 CJW41:CJW46 BZW47:BZW50 CAA41:CAA46 BQA47:BQA50 BQE41:BQE46 BGE47:BGE50 BGI41:BGI46 AWI47:AWI50 AWM41:AWM46 AMM47:AMM50 AMQ41:AMQ46 ACQ47:ACQ50 ACU41:ACU46 SU47:SU50 SY41:SY46 IY47:IY50 JC41:JC46 F22:F36 F66:F70 IQ67:IQ70 SM67:SM70 ACI67:ACI70 AME67:AME70 AWA67:AWA70 BFW67:BFW70 BPS67:BPS70 BZO67:BZO70 CJK67:CJK70 CTG67:CTG70 DDC67:DDC70 DMY67:DMY70 DWU67:DWU70 EGQ67:EGQ70 EQM67:EQM70 FAI67:FAI70 FKE67:FKE70 FUA67:FUA70 GDW67:GDW70 GNS67:GNS70 GXO67:GXO70 HHK67:HHK70 HRG67:HRG70 IBC67:IBC70 IKY67:IKY70 IUU67:IUU70 JEQ67:JEQ70 JOM67:JOM70 JYI67:JYI70 KIE67:KIE70 KSA67:KSA70 LBW67:LBW70 LLS67:LLS70 LVO67:LVO70 MFK67:MFK70 MPG67:MPG70 MZC67:MZC70 NIY67:NIY70 NSU67:NSU70 OCQ67:OCQ70 OMM67:OMM70 OWI67:OWI70 PGE67:PGE70 PQA67:PQA70 PZW67:PZW70 QJS67:QJS70 QTO67:QTO70 RDK67:RDK70 RNG67:RNG70 RXC67:RXC70 SGY67:SGY70 SQU67:SQU70 TAQ67:TAQ70 TKM67:TKM70 TUI67:TUI70 UEE67:UEE70 UOA67:UOA70 UXW67:UXW70 VHS67:VHS70 VRO67:VRO70 WBK67:WBK70 WLG67:WLG70 WVC67:WVC70 WVO75:WVO79 WLS75:WLS79 WBW75:WBW79 VSA75:VSA79 VIE75:VIE79 UYI75:UYI79 UOM75:UOM79 UEQ75:UEQ79 TUU75:TUU79 TKY75:TKY79 TBC75:TBC79 SRG75:SRG79 SHK75:SHK79 RXO75:RXO79 RNS75:RNS79 RDW75:RDW79 QUA75:QUA79 QKE75:QKE79 QAI75:QAI79 PQM75:PQM79 PGQ75:PGQ79 OWU75:OWU79 OMY75:OMY79 ODC75:ODC79 NTG75:NTG79 NJK75:NJK79 MZO75:MZO79 MPS75:MPS79 MFW75:MFW79 LWA75:LWA79 LME75:LME79 LCI75:LCI79 KSM75:KSM79 KIQ75:KIQ79 JYU75:JYU79 JOY75:JOY79 JFC75:JFC79 IVG75:IVG79 ILK75:ILK79 IBO75:IBO79 HRS75:HRS79 HHW75:HHW79 GYA75:GYA79 GOE75:GOE79 GEI75:GEI79 FUM75:FUM79 FKQ75:FKQ79 FAU75:FAU79 EQY75:EQY79 EHC75:EHC79 DXG75:DXG79 DNK75:DNK79 DDO75:DDO79 CTS75:CTS79 CJW75:CJW79 CAA75:CAA79 BQE75:BQE79 BGI75:BGI79 AWM75:AWM79 AMQ75:AMQ79 ACU75:ACU79 SY75:SY79 JC75:JC79 F41:F50" xr:uid="{00000000-0002-0000-0500-000007000000}">
      <formula1>1</formula1>
      <formula2>100</formula2>
    </dataValidation>
    <dataValidation type="whole" allowBlank="1" showInputMessage="1" showErrorMessage="1" error="สัดส่วนงานคือ 100% ดังนั้นจำนวนผู้วิจัยควรเป็น 1 คน" sqref="WVM983009:WVM983010 IP23:IP24 SL23:SL24 ACH23:ACH24 AMD23:AMD24 AVZ23:AVZ24 BFV23:BFV24 BPR23:BPR24 BZN23:BZN24 CJJ23:CJJ24 CTF23:CTF24 DDB23:DDB24 DMX23:DMX24 DWT23:DWT24 EGP23:EGP24 EQL23:EQL24 FAH23:FAH24 FKD23:FKD24 FTZ23:FTZ24 GDV23:GDV24 GNR23:GNR24 GXN23:GXN24 HHJ23:HHJ24 HRF23:HRF24 IBB23:IBB24 IKX23:IKX24 IUT23:IUT24 JEP23:JEP24 JOL23:JOL24 JYH23:JYH24 KID23:KID24 KRZ23:KRZ24 LBV23:LBV24 LLR23:LLR24 LVN23:LVN24 MFJ23:MFJ24 MPF23:MPF24 MZB23:MZB24 NIX23:NIX24 NST23:NST24 OCP23:OCP24 OML23:OML24 OWH23:OWH24 PGD23:PGD24 PPZ23:PPZ24 PZV23:PZV24 QJR23:QJR24 QTN23:QTN24 RDJ23:RDJ24 RNF23:RNF24 RXB23:RXB24 SGX23:SGX24 SQT23:SQT24 TAP23:TAP24 TKL23:TKL24 TUH23:TUH24 UED23:UED24 UNZ23:UNZ24 UXV23:UXV24 VHR23:VHR24 VRN23:VRN24 WBJ23:WBJ24 WLF23:WLF24 WVB23:WVB24 E65505:E65506 JA65505:JA65506 SW65505:SW65506 ACS65505:ACS65506 AMO65505:AMO65506 AWK65505:AWK65506 BGG65505:BGG65506 BQC65505:BQC65506 BZY65505:BZY65506 CJU65505:CJU65506 CTQ65505:CTQ65506 DDM65505:DDM65506 DNI65505:DNI65506 DXE65505:DXE65506 EHA65505:EHA65506 EQW65505:EQW65506 FAS65505:FAS65506 FKO65505:FKO65506 FUK65505:FUK65506 GEG65505:GEG65506 GOC65505:GOC65506 GXY65505:GXY65506 HHU65505:HHU65506 HRQ65505:HRQ65506 IBM65505:IBM65506 ILI65505:ILI65506 IVE65505:IVE65506 JFA65505:JFA65506 JOW65505:JOW65506 JYS65505:JYS65506 KIO65505:KIO65506 KSK65505:KSK65506 LCG65505:LCG65506 LMC65505:LMC65506 LVY65505:LVY65506 MFU65505:MFU65506 MPQ65505:MPQ65506 MZM65505:MZM65506 NJI65505:NJI65506 NTE65505:NTE65506 ODA65505:ODA65506 OMW65505:OMW65506 OWS65505:OWS65506 PGO65505:PGO65506 PQK65505:PQK65506 QAG65505:QAG65506 QKC65505:QKC65506 QTY65505:QTY65506 RDU65505:RDU65506 RNQ65505:RNQ65506 RXM65505:RXM65506 SHI65505:SHI65506 SRE65505:SRE65506 TBA65505:TBA65506 TKW65505:TKW65506 TUS65505:TUS65506 UEO65505:UEO65506 UOK65505:UOK65506 UYG65505:UYG65506 VIC65505:VIC65506 VRY65505:VRY65506 WBU65505:WBU65506 WLQ65505:WLQ65506 WVM65505:WVM65506 E131041:E131042 JA131041:JA131042 SW131041:SW131042 ACS131041:ACS131042 AMO131041:AMO131042 AWK131041:AWK131042 BGG131041:BGG131042 BQC131041:BQC131042 BZY131041:BZY131042 CJU131041:CJU131042 CTQ131041:CTQ131042 DDM131041:DDM131042 DNI131041:DNI131042 DXE131041:DXE131042 EHA131041:EHA131042 EQW131041:EQW131042 FAS131041:FAS131042 FKO131041:FKO131042 FUK131041:FUK131042 GEG131041:GEG131042 GOC131041:GOC131042 GXY131041:GXY131042 HHU131041:HHU131042 HRQ131041:HRQ131042 IBM131041:IBM131042 ILI131041:ILI131042 IVE131041:IVE131042 JFA131041:JFA131042 JOW131041:JOW131042 JYS131041:JYS131042 KIO131041:KIO131042 KSK131041:KSK131042 LCG131041:LCG131042 LMC131041:LMC131042 LVY131041:LVY131042 MFU131041:MFU131042 MPQ131041:MPQ131042 MZM131041:MZM131042 NJI131041:NJI131042 NTE131041:NTE131042 ODA131041:ODA131042 OMW131041:OMW131042 OWS131041:OWS131042 PGO131041:PGO131042 PQK131041:PQK131042 QAG131041:QAG131042 QKC131041:QKC131042 QTY131041:QTY131042 RDU131041:RDU131042 RNQ131041:RNQ131042 RXM131041:RXM131042 SHI131041:SHI131042 SRE131041:SRE131042 TBA131041:TBA131042 TKW131041:TKW131042 TUS131041:TUS131042 UEO131041:UEO131042 UOK131041:UOK131042 UYG131041:UYG131042 VIC131041:VIC131042 VRY131041:VRY131042 WBU131041:WBU131042 WLQ131041:WLQ131042 WVM131041:WVM131042 E196577:E196578 JA196577:JA196578 SW196577:SW196578 ACS196577:ACS196578 AMO196577:AMO196578 AWK196577:AWK196578 BGG196577:BGG196578 BQC196577:BQC196578 BZY196577:BZY196578 CJU196577:CJU196578 CTQ196577:CTQ196578 DDM196577:DDM196578 DNI196577:DNI196578 DXE196577:DXE196578 EHA196577:EHA196578 EQW196577:EQW196578 FAS196577:FAS196578 FKO196577:FKO196578 FUK196577:FUK196578 GEG196577:GEG196578 GOC196577:GOC196578 GXY196577:GXY196578 HHU196577:HHU196578 HRQ196577:HRQ196578 IBM196577:IBM196578 ILI196577:ILI196578 IVE196577:IVE196578 JFA196577:JFA196578 JOW196577:JOW196578 JYS196577:JYS196578 KIO196577:KIO196578 KSK196577:KSK196578 LCG196577:LCG196578 LMC196577:LMC196578 LVY196577:LVY196578 MFU196577:MFU196578 MPQ196577:MPQ196578 MZM196577:MZM196578 NJI196577:NJI196578 NTE196577:NTE196578 ODA196577:ODA196578 OMW196577:OMW196578 OWS196577:OWS196578 PGO196577:PGO196578 PQK196577:PQK196578 QAG196577:QAG196578 QKC196577:QKC196578 QTY196577:QTY196578 RDU196577:RDU196578 RNQ196577:RNQ196578 RXM196577:RXM196578 SHI196577:SHI196578 SRE196577:SRE196578 TBA196577:TBA196578 TKW196577:TKW196578 TUS196577:TUS196578 UEO196577:UEO196578 UOK196577:UOK196578 UYG196577:UYG196578 VIC196577:VIC196578 VRY196577:VRY196578 WBU196577:WBU196578 WLQ196577:WLQ196578 WVM196577:WVM196578 E262113:E262114 JA262113:JA262114 SW262113:SW262114 ACS262113:ACS262114 AMO262113:AMO262114 AWK262113:AWK262114 BGG262113:BGG262114 BQC262113:BQC262114 BZY262113:BZY262114 CJU262113:CJU262114 CTQ262113:CTQ262114 DDM262113:DDM262114 DNI262113:DNI262114 DXE262113:DXE262114 EHA262113:EHA262114 EQW262113:EQW262114 FAS262113:FAS262114 FKO262113:FKO262114 FUK262113:FUK262114 GEG262113:GEG262114 GOC262113:GOC262114 GXY262113:GXY262114 HHU262113:HHU262114 HRQ262113:HRQ262114 IBM262113:IBM262114 ILI262113:ILI262114 IVE262113:IVE262114 JFA262113:JFA262114 JOW262113:JOW262114 JYS262113:JYS262114 KIO262113:KIO262114 KSK262113:KSK262114 LCG262113:LCG262114 LMC262113:LMC262114 LVY262113:LVY262114 MFU262113:MFU262114 MPQ262113:MPQ262114 MZM262113:MZM262114 NJI262113:NJI262114 NTE262113:NTE262114 ODA262113:ODA262114 OMW262113:OMW262114 OWS262113:OWS262114 PGO262113:PGO262114 PQK262113:PQK262114 QAG262113:QAG262114 QKC262113:QKC262114 QTY262113:QTY262114 RDU262113:RDU262114 RNQ262113:RNQ262114 RXM262113:RXM262114 SHI262113:SHI262114 SRE262113:SRE262114 TBA262113:TBA262114 TKW262113:TKW262114 TUS262113:TUS262114 UEO262113:UEO262114 UOK262113:UOK262114 UYG262113:UYG262114 VIC262113:VIC262114 VRY262113:VRY262114 WBU262113:WBU262114 WLQ262113:WLQ262114 WVM262113:WVM262114 E327649:E327650 JA327649:JA327650 SW327649:SW327650 ACS327649:ACS327650 AMO327649:AMO327650 AWK327649:AWK327650 BGG327649:BGG327650 BQC327649:BQC327650 BZY327649:BZY327650 CJU327649:CJU327650 CTQ327649:CTQ327650 DDM327649:DDM327650 DNI327649:DNI327650 DXE327649:DXE327650 EHA327649:EHA327650 EQW327649:EQW327650 FAS327649:FAS327650 FKO327649:FKO327650 FUK327649:FUK327650 GEG327649:GEG327650 GOC327649:GOC327650 GXY327649:GXY327650 HHU327649:HHU327650 HRQ327649:HRQ327650 IBM327649:IBM327650 ILI327649:ILI327650 IVE327649:IVE327650 JFA327649:JFA327650 JOW327649:JOW327650 JYS327649:JYS327650 KIO327649:KIO327650 KSK327649:KSK327650 LCG327649:LCG327650 LMC327649:LMC327650 LVY327649:LVY327650 MFU327649:MFU327650 MPQ327649:MPQ327650 MZM327649:MZM327650 NJI327649:NJI327650 NTE327649:NTE327650 ODA327649:ODA327650 OMW327649:OMW327650 OWS327649:OWS327650 PGO327649:PGO327650 PQK327649:PQK327650 QAG327649:QAG327650 QKC327649:QKC327650 QTY327649:QTY327650 RDU327649:RDU327650 RNQ327649:RNQ327650 RXM327649:RXM327650 SHI327649:SHI327650 SRE327649:SRE327650 TBA327649:TBA327650 TKW327649:TKW327650 TUS327649:TUS327650 UEO327649:UEO327650 UOK327649:UOK327650 UYG327649:UYG327650 VIC327649:VIC327650 VRY327649:VRY327650 WBU327649:WBU327650 WLQ327649:WLQ327650 WVM327649:WVM327650 E393185:E393186 JA393185:JA393186 SW393185:SW393186 ACS393185:ACS393186 AMO393185:AMO393186 AWK393185:AWK393186 BGG393185:BGG393186 BQC393185:BQC393186 BZY393185:BZY393186 CJU393185:CJU393186 CTQ393185:CTQ393186 DDM393185:DDM393186 DNI393185:DNI393186 DXE393185:DXE393186 EHA393185:EHA393186 EQW393185:EQW393186 FAS393185:FAS393186 FKO393185:FKO393186 FUK393185:FUK393186 GEG393185:GEG393186 GOC393185:GOC393186 GXY393185:GXY393186 HHU393185:HHU393186 HRQ393185:HRQ393186 IBM393185:IBM393186 ILI393185:ILI393186 IVE393185:IVE393186 JFA393185:JFA393186 JOW393185:JOW393186 JYS393185:JYS393186 KIO393185:KIO393186 KSK393185:KSK393186 LCG393185:LCG393186 LMC393185:LMC393186 LVY393185:LVY393186 MFU393185:MFU393186 MPQ393185:MPQ393186 MZM393185:MZM393186 NJI393185:NJI393186 NTE393185:NTE393186 ODA393185:ODA393186 OMW393185:OMW393186 OWS393185:OWS393186 PGO393185:PGO393186 PQK393185:PQK393186 QAG393185:QAG393186 QKC393185:QKC393186 QTY393185:QTY393186 RDU393185:RDU393186 RNQ393185:RNQ393186 RXM393185:RXM393186 SHI393185:SHI393186 SRE393185:SRE393186 TBA393185:TBA393186 TKW393185:TKW393186 TUS393185:TUS393186 UEO393185:UEO393186 UOK393185:UOK393186 UYG393185:UYG393186 VIC393185:VIC393186 VRY393185:VRY393186 WBU393185:WBU393186 WLQ393185:WLQ393186 WVM393185:WVM393186 E458721:E458722 JA458721:JA458722 SW458721:SW458722 ACS458721:ACS458722 AMO458721:AMO458722 AWK458721:AWK458722 BGG458721:BGG458722 BQC458721:BQC458722 BZY458721:BZY458722 CJU458721:CJU458722 CTQ458721:CTQ458722 DDM458721:DDM458722 DNI458721:DNI458722 DXE458721:DXE458722 EHA458721:EHA458722 EQW458721:EQW458722 FAS458721:FAS458722 FKO458721:FKO458722 FUK458721:FUK458722 GEG458721:GEG458722 GOC458721:GOC458722 GXY458721:GXY458722 HHU458721:HHU458722 HRQ458721:HRQ458722 IBM458721:IBM458722 ILI458721:ILI458722 IVE458721:IVE458722 JFA458721:JFA458722 JOW458721:JOW458722 JYS458721:JYS458722 KIO458721:KIO458722 KSK458721:KSK458722 LCG458721:LCG458722 LMC458721:LMC458722 LVY458721:LVY458722 MFU458721:MFU458722 MPQ458721:MPQ458722 MZM458721:MZM458722 NJI458721:NJI458722 NTE458721:NTE458722 ODA458721:ODA458722 OMW458721:OMW458722 OWS458721:OWS458722 PGO458721:PGO458722 PQK458721:PQK458722 QAG458721:QAG458722 QKC458721:QKC458722 QTY458721:QTY458722 RDU458721:RDU458722 RNQ458721:RNQ458722 RXM458721:RXM458722 SHI458721:SHI458722 SRE458721:SRE458722 TBA458721:TBA458722 TKW458721:TKW458722 TUS458721:TUS458722 UEO458721:UEO458722 UOK458721:UOK458722 UYG458721:UYG458722 VIC458721:VIC458722 VRY458721:VRY458722 WBU458721:WBU458722 WLQ458721:WLQ458722 WVM458721:WVM458722 E524257:E524258 JA524257:JA524258 SW524257:SW524258 ACS524257:ACS524258 AMO524257:AMO524258 AWK524257:AWK524258 BGG524257:BGG524258 BQC524257:BQC524258 BZY524257:BZY524258 CJU524257:CJU524258 CTQ524257:CTQ524258 DDM524257:DDM524258 DNI524257:DNI524258 DXE524257:DXE524258 EHA524257:EHA524258 EQW524257:EQW524258 FAS524257:FAS524258 FKO524257:FKO524258 FUK524257:FUK524258 GEG524257:GEG524258 GOC524257:GOC524258 GXY524257:GXY524258 HHU524257:HHU524258 HRQ524257:HRQ524258 IBM524257:IBM524258 ILI524257:ILI524258 IVE524257:IVE524258 JFA524257:JFA524258 JOW524257:JOW524258 JYS524257:JYS524258 KIO524257:KIO524258 KSK524257:KSK524258 LCG524257:LCG524258 LMC524257:LMC524258 LVY524257:LVY524258 MFU524257:MFU524258 MPQ524257:MPQ524258 MZM524257:MZM524258 NJI524257:NJI524258 NTE524257:NTE524258 ODA524257:ODA524258 OMW524257:OMW524258 OWS524257:OWS524258 PGO524257:PGO524258 PQK524257:PQK524258 QAG524257:QAG524258 QKC524257:QKC524258 QTY524257:QTY524258 RDU524257:RDU524258 RNQ524257:RNQ524258 RXM524257:RXM524258 SHI524257:SHI524258 SRE524257:SRE524258 TBA524257:TBA524258 TKW524257:TKW524258 TUS524257:TUS524258 UEO524257:UEO524258 UOK524257:UOK524258 UYG524257:UYG524258 VIC524257:VIC524258 VRY524257:VRY524258 WBU524257:WBU524258 WLQ524257:WLQ524258 WVM524257:WVM524258 E589793:E589794 JA589793:JA589794 SW589793:SW589794 ACS589793:ACS589794 AMO589793:AMO589794 AWK589793:AWK589794 BGG589793:BGG589794 BQC589793:BQC589794 BZY589793:BZY589794 CJU589793:CJU589794 CTQ589793:CTQ589794 DDM589793:DDM589794 DNI589793:DNI589794 DXE589793:DXE589794 EHA589793:EHA589794 EQW589793:EQW589794 FAS589793:FAS589794 FKO589793:FKO589794 FUK589793:FUK589794 GEG589793:GEG589794 GOC589793:GOC589794 GXY589793:GXY589794 HHU589793:HHU589794 HRQ589793:HRQ589794 IBM589793:IBM589794 ILI589793:ILI589794 IVE589793:IVE589794 JFA589793:JFA589794 JOW589793:JOW589794 JYS589793:JYS589794 KIO589793:KIO589794 KSK589793:KSK589794 LCG589793:LCG589794 LMC589793:LMC589794 LVY589793:LVY589794 MFU589793:MFU589794 MPQ589793:MPQ589794 MZM589793:MZM589794 NJI589793:NJI589794 NTE589793:NTE589794 ODA589793:ODA589794 OMW589793:OMW589794 OWS589793:OWS589794 PGO589793:PGO589794 PQK589793:PQK589794 QAG589793:QAG589794 QKC589793:QKC589794 QTY589793:QTY589794 RDU589793:RDU589794 RNQ589793:RNQ589794 RXM589793:RXM589794 SHI589793:SHI589794 SRE589793:SRE589794 TBA589793:TBA589794 TKW589793:TKW589794 TUS589793:TUS589794 UEO589793:UEO589794 UOK589793:UOK589794 UYG589793:UYG589794 VIC589793:VIC589794 VRY589793:VRY589794 WBU589793:WBU589794 WLQ589793:WLQ589794 WVM589793:WVM589794 E655329:E655330 JA655329:JA655330 SW655329:SW655330 ACS655329:ACS655330 AMO655329:AMO655330 AWK655329:AWK655330 BGG655329:BGG655330 BQC655329:BQC655330 BZY655329:BZY655330 CJU655329:CJU655330 CTQ655329:CTQ655330 DDM655329:DDM655330 DNI655329:DNI655330 DXE655329:DXE655330 EHA655329:EHA655330 EQW655329:EQW655330 FAS655329:FAS655330 FKO655329:FKO655330 FUK655329:FUK655330 GEG655329:GEG655330 GOC655329:GOC655330 GXY655329:GXY655330 HHU655329:HHU655330 HRQ655329:HRQ655330 IBM655329:IBM655330 ILI655329:ILI655330 IVE655329:IVE655330 JFA655329:JFA655330 JOW655329:JOW655330 JYS655329:JYS655330 KIO655329:KIO655330 KSK655329:KSK655330 LCG655329:LCG655330 LMC655329:LMC655330 LVY655329:LVY655330 MFU655329:MFU655330 MPQ655329:MPQ655330 MZM655329:MZM655330 NJI655329:NJI655330 NTE655329:NTE655330 ODA655329:ODA655330 OMW655329:OMW655330 OWS655329:OWS655330 PGO655329:PGO655330 PQK655329:PQK655330 QAG655329:QAG655330 QKC655329:QKC655330 QTY655329:QTY655330 RDU655329:RDU655330 RNQ655329:RNQ655330 RXM655329:RXM655330 SHI655329:SHI655330 SRE655329:SRE655330 TBA655329:TBA655330 TKW655329:TKW655330 TUS655329:TUS655330 UEO655329:UEO655330 UOK655329:UOK655330 UYG655329:UYG655330 VIC655329:VIC655330 VRY655329:VRY655330 WBU655329:WBU655330 WLQ655329:WLQ655330 WVM655329:WVM655330 E720865:E720866 JA720865:JA720866 SW720865:SW720866 ACS720865:ACS720866 AMO720865:AMO720866 AWK720865:AWK720866 BGG720865:BGG720866 BQC720865:BQC720866 BZY720865:BZY720866 CJU720865:CJU720866 CTQ720865:CTQ720866 DDM720865:DDM720866 DNI720865:DNI720866 DXE720865:DXE720866 EHA720865:EHA720866 EQW720865:EQW720866 FAS720865:FAS720866 FKO720865:FKO720866 FUK720865:FUK720866 GEG720865:GEG720866 GOC720865:GOC720866 GXY720865:GXY720866 HHU720865:HHU720866 HRQ720865:HRQ720866 IBM720865:IBM720866 ILI720865:ILI720866 IVE720865:IVE720866 JFA720865:JFA720866 JOW720865:JOW720866 JYS720865:JYS720866 KIO720865:KIO720866 KSK720865:KSK720866 LCG720865:LCG720866 LMC720865:LMC720866 LVY720865:LVY720866 MFU720865:MFU720866 MPQ720865:MPQ720866 MZM720865:MZM720866 NJI720865:NJI720866 NTE720865:NTE720866 ODA720865:ODA720866 OMW720865:OMW720866 OWS720865:OWS720866 PGO720865:PGO720866 PQK720865:PQK720866 QAG720865:QAG720866 QKC720865:QKC720866 QTY720865:QTY720866 RDU720865:RDU720866 RNQ720865:RNQ720866 RXM720865:RXM720866 SHI720865:SHI720866 SRE720865:SRE720866 TBA720865:TBA720866 TKW720865:TKW720866 TUS720865:TUS720866 UEO720865:UEO720866 UOK720865:UOK720866 UYG720865:UYG720866 VIC720865:VIC720866 VRY720865:VRY720866 WBU720865:WBU720866 WLQ720865:WLQ720866 WVM720865:WVM720866 E786401:E786402 JA786401:JA786402 SW786401:SW786402 ACS786401:ACS786402 AMO786401:AMO786402 AWK786401:AWK786402 BGG786401:BGG786402 BQC786401:BQC786402 BZY786401:BZY786402 CJU786401:CJU786402 CTQ786401:CTQ786402 DDM786401:DDM786402 DNI786401:DNI786402 DXE786401:DXE786402 EHA786401:EHA786402 EQW786401:EQW786402 FAS786401:FAS786402 FKO786401:FKO786402 FUK786401:FUK786402 GEG786401:GEG786402 GOC786401:GOC786402 GXY786401:GXY786402 HHU786401:HHU786402 HRQ786401:HRQ786402 IBM786401:IBM786402 ILI786401:ILI786402 IVE786401:IVE786402 JFA786401:JFA786402 JOW786401:JOW786402 JYS786401:JYS786402 KIO786401:KIO786402 KSK786401:KSK786402 LCG786401:LCG786402 LMC786401:LMC786402 LVY786401:LVY786402 MFU786401:MFU786402 MPQ786401:MPQ786402 MZM786401:MZM786402 NJI786401:NJI786402 NTE786401:NTE786402 ODA786401:ODA786402 OMW786401:OMW786402 OWS786401:OWS786402 PGO786401:PGO786402 PQK786401:PQK786402 QAG786401:QAG786402 QKC786401:QKC786402 QTY786401:QTY786402 RDU786401:RDU786402 RNQ786401:RNQ786402 RXM786401:RXM786402 SHI786401:SHI786402 SRE786401:SRE786402 TBA786401:TBA786402 TKW786401:TKW786402 TUS786401:TUS786402 UEO786401:UEO786402 UOK786401:UOK786402 UYG786401:UYG786402 VIC786401:VIC786402 VRY786401:VRY786402 WBU786401:WBU786402 WLQ786401:WLQ786402 WVM786401:WVM786402 E851937:E851938 JA851937:JA851938 SW851937:SW851938 ACS851937:ACS851938 AMO851937:AMO851938 AWK851937:AWK851938 BGG851937:BGG851938 BQC851937:BQC851938 BZY851937:BZY851938 CJU851937:CJU851938 CTQ851937:CTQ851938 DDM851937:DDM851938 DNI851937:DNI851938 DXE851937:DXE851938 EHA851937:EHA851938 EQW851937:EQW851938 FAS851937:FAS851938 FKO851937:FKO851938 FUK851937:FUK851938 GEG851937:GEG851938 GOC851937:GOC851938 GXY851937:GXY851938 HHU851937:HHU851938 HRQ851937:HRQ851938 IBM851937:IBM851938 ILI851937:ILI851938 IVE851937:IVE851938 JFA851937:JFA851938 JOW851937:JOW851938 JYS851937:JYS851938 KIO851937:KIO851938 KSK851937:KSK851938 LCG851937:LCG851938 LMC851937:LMC851938 LVY851937:LVY851938 MFU851937:MFU851938 MPQ851937:MPQ851938 MZM851937:MZM851938 NJI851937:NJI851938 NTE851937:NTE851938 ODA851937:ODA851938 OMW851937:OMW851938 OWS851937:OWS851938 PGO851937:PGO851938 PQK851937:PQK851938 QAG851937:QAG851938 QKC851937:QKC851938 QTY851937:QTY851938 RDU851937:RDU851938 RNQ851937:RNQ851938 RXM851937:RXM851938 SHI851937:SHI851938 SRE851937:SRE851938 TBA851937:TBA851938 TKW851937:TKW851938 TUS851937:TUS851938 UEO851937:UEO851938 UOK851937:UOK851938 UYG851937:UYG851938 VIC851937:VIC851938 VRY851937:VRY851938 WBU851937:WBU851938 WLQ851937:WLQ851938 WVM851937:WVM851938 E917473:E917474 JA917473:JA917474 SW917473:SW917474 ACS917473:ACS917474 AMO917473:AMO917474 AWK917473:AWK917474 BGG917473:BGG917474 BQC917473:BQC917474 BZY917473:BZY917474 CJU917473:CJU917474 CTQ917473:CTQ917474 DDM917473:DDM917474 DNI917473:DNI917474 DXE917473:DXE917474 EHA917473:EHA917474 EQW917473:EQW917474 FAS917473:FAS917474 FKO917473:FKO917474 FUK917473:FUK917474 GEG917473:GEG917474 GOC917473:GOC917474 GXY917473:GXY917474 HHU917473:HHU917474 HRQ917473:HRQ917474 IBM917473:IBM917474 ILI917473:ILI917474 IVE917473:IVE917474 JFA917473:JFA917474 JOW917473:JOW917474 JYS917473:JYS917474 KIO917473:KIO917474 KSK917473:KSK917474 LCG917473:LCG917474 LMC917473:LMC917474 LVY917473:LVY917474 MFU917473:MFU917474 MPQ917473:MPQ917474 MZM917473:MZM917474 NJI917473:NJI917474 NTE917473:NTE917474 ODA917473:ODA917474 OMW917473:OMW917474 OWS917473:OWS917474 PGO917473:PGO917474 PQK917473:PQK917474 QAG917473:QAG917474 QKC917473:QKC917474 QTY917473:QTY917474 RDU917473:RDU917474 RNQ917473:RNQ917474 RXM917473:RXM917474 SHI917473:SHI917474 SRE917473:SRE917474 TBA917473:TBA917474 TKW917473:TKW917474 TUS917473:TUS917474 UEO917473:UEO917474 UOK917473:UOK917474 UYG917473:UYG917474 VIC917473:VIC917474 VRY917473:VRY917474 WBU917473:WBU917474 WLQ917473:WLQ917474 WVM917473:WVM917474 E983009:E983010 JA983009:JA983010 SW983009:SW983010 ACS983009:ACS983010 AMO983009:AMO983010 AWK983009:AWK983010 BGG983009:BGG983010 BQC983009:BQC983010 BZY983009:BZY983010 CJU983009:CJU983010 CTQ983009:CTQ983010 DDM983009:DDM983010 DNI983009:DNI983010 DXE983009:DXE983010 EHA983009:EHA983010 EQW983009:EQW983010 FAS983009:FAS983010 FKO983009:FKO983010 FUK983009:FUK983010 GEG983009:GEG983010 GOC983009:GOC983010 GXY983009:GXY983010 HHU983009:HHU983010 HRQ983009:HRQ983010 IBM983009:IBM983010 ILI983009:ILI983010 IVE983009:IVE983010 JFA983009:JFA983010 JOW983009:JOW983010 JYS983009:JYS983010 KIO983009:KIO983010 KSK983009:KSK983010 LCG983009:LCG983010 LMC983009:LMC983010 LVY983009:LVY983010 MFU983009:MFU983010 MPQ983009:MPQ983010 MZM983009:MZM983010 NJI983009:NJI983010 NTE983009:NTE983010 ODA983009:ODA983010 OMW983009:OMW983010 OWS983009:OWS983010 PGO983009:PGO983010 PQK983009:PQK983010 QAG983009:QAG983010 QKC983009:QKC983010 QTY983009:QTY983010 RDU983009:RDU983010 RNQ983009:RNQ983010 RXM983009:RXM983010 SHI983009:SHI983010 SRE983009:SRE983010 TBA983009:TBA983010 TKW983009:TKW983010 TUS983009:TUS983010 UEO983009:UEO983010 UOK983009:UOK983010 UYG983009:UYG983010 VIC983009:VIC983010 VRY983009:VRY983010 WBU983009:WBU983010 WLQ983009:WLQ983010 IP67:IP68 SL67:SL68 ACH67:ACH68 AMD67:AMD68 AVZ67:AVZ68 BFV67:BFV68 BPR67:BPR68 BZN67:BZN68 CJJ67:CJJ68 CTF67:CTF68 DDB67:DDB68 DMX67:DMX68 DWT67:DWT68 EGP67:EGP68 EQL67:EQL68 FAH67:FAH68 FKD67:FKD68 FTZ67:FTZ68 GDV67:GDV68 GNR67:GNR68 GXN67:GXN68 HHJ67:HHJ68 HRF67:HRF68 IBB67:IBB68 IKX67:IKX68 IUT67:IUT68 JEP67:JEP68 JOL67:JOL68 JYH67:JYH68 KID67:KID68 KRZ67:KRZ68 LBV67:LBV68 LLR67:LLR68 LVN67:LVN68 MFJ67:MFJ68 MPF67:MPF68 MZB67:MZB68 NIX67:NIX68 NST67:NST68 OCP67:OCP68 OML67:OML68 OWH67:OWH68 PGD67:PGD68 PPZ67:PPZ68 PZV67:PZV68 QJR67:QJR68 QTN67:QTN68 RDJ67:RDJ68 RNF67:RNF68 RXB67:RXB68 SGX67:SGX68 SQT67:SQT68 TAP67:TAP68 TKL67:TKL68 TUH67:TUH68 UED67:UED68 UNZ67:UNZ68 UXV67:UXV68 VHR67:VHR68 VRN67:VRN68 WBJ67:WBJ68 WLF67:WLF68 WVB67:WVB68" xr:uid="{00000000-0002-0000-0500-000008000000}">
      <formula1>IF(F23=100,1,2)</formula1>
      <formula2>IF(F23=100,1,100)</formula2>
    </dataValidation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K87:L91 O100:O120 N127:O147 O154:O174 O181:O201 O208:O228 K75:L79 K41:L50 K55:L59 K66:L70 O274:O284 O291:O301" xr:uid="{00000000-0002-0000-0500-000009000000}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ว/ด/ปปปป(พ.ศ.) เช่น_x000a_25/8/2561" sqref="O235:O255" xr:uid="{00000000-0002-0000-0500-00000A000000}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08/2561" sqref="K22:L36" xr:uid="{00000000-0002-0000-0500-00000B000000}"/>
  </dataValidations>
  <hyperlinks>
    <hyperlink ref="B270" r:id="rId1" display="          3.1 ผลงานสร้างสรรค์ด้านวิทยาศาสตร์และเทคโนโลยี (รูปแบบ การเผยแพร่ และคุณภาพเป็นไปตามหลักเกณฑ์ที่ ก.พ.อ. กำหนด)" xr:uid="{00000000-0004-0000-0500-000000000000}"/>
    <hyperlink ref="B287" r:id="rId2" display="          3.2 ผลงานสร้างสรรค์ด้านสุทรียะ ศิลปะ (รูปแบบ การเผยแพร่ และคุณภาพเป็นไปตามหลักเกณฑ์ที่ ก.พ.อ. กำหนด)" xr:uid="{00000000-0004-0000-0500-000001000000}"/>
    <hyperlink ref="B270:I270" r:id="rId3" display="  3.1 ผลงานสร้างสรรค์ด้านวิทยาศาสตร์และเทคโนโลยี (รูปแบบ การเผยแพร่ และคุณภาพเป็นไปตามหลักเกณฑ์ที่ ก.พ.อ. กำหนด)" xr:uid="{00000000-0004-0000-0500-000002000000}"/>
  </hyperlinks>
  <pageMargins left="0.31496062992125984" right="0.31496062992125984" top="0.59055118110236227" bottom="0.39370078740157483" header="0.19685039370078741" footer="0.19685039370078741"/>
  <pageSetup paperSize="9" scale="57" orientation="landscape" r:id="rId4"/>
  <headerFooter alignWithMargins="0">
    <oddHeader>&amp;Rส่วนที่ 2 การคำนวณภาระงานวิจัยและงานวิชาการอื่น   หน้าที่ &amp;P/&amp;N</oddHeader>
    <oddFooter>&amp;LAPS v.4.4 พนักงานมหาวิทยาลัย&amp;Cหน้าที่ &amp;P/&amp;N</oddFooter>
  </headerFooter>
  <rowBreaks count="5" manualBreakCount="5">
    <brk id="61" max="16383" man="1"/>
    <brk id="122" min="1" max="21" man="1"/>
    <brk id="176" min="1" max="21" man="1"/>
    <brk id="230" min="1" max="21" man="1"/>
    <brk id="286" min="1" max="21" man="1"/>
  </rowBreaks>
  <drawing r:id="rId5"/>
  <legacy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29"/>
  </sheetPr>
  <dimension ref="A2:R463"/>
  <sheetViews>
    <sheetView showGridLines="0" zoomScaleNormal="100" zoomScaleSheetLayoutView="70" workbookViewId="0">
      <selection activeCell="U2" sqref="U2"/>
    </sheetView>
  </sheetViews>
  <sheetFormatPr defaultRowHeight="12.75" x14ac:dyDescent="0.2"/>
  <cols>
    <col min="1" max="1" width="1.625" style="1035" customWidth="1"/>
    <col min="2" max="2" width="10.625" style="1035" customWidth="1"/>
    <col min="3" max="3" width="43.875" style="1035" customWidth="1"/>
    <col min="4" max="4" width="11.375" style="1035" customWidth="1"/>
    <col min="5" max="5" width="13.375" style="1035" bestFit="1" customWidth="1"/>
    <col min="6" max="6" width="12.75" style="1035" bestFit="1" customWidth="1"/>
    <col min="7" max="7" width="12.125" style="1035" bestFit="1" customWidth="1"/>
    <col min="8" max="8" width="7.625" style="1035" customWidth="1"/>
    <col min="9" max="9" width="12.625" style="1035" customWidth="1"/>
    <col min="10" max="10" width="11.125" style="1035" customWidth="1"/>
    <col min="11" max="11" width="9" style="1035" hidden="1" customWidth="1"/>
    <col min="12" max="12" width="10.375" style="1036" hidden="1" customWidth="1"/>
    <col min="13" max="14" width="8.875" style="1036" hidden="1" customWidth="1"/>
    <col min="15" max="18" width="8" style="1036" hidden="1" customWidth="1"/>
    <col min="19" max="258" width="9" style="1035"/>
    <col min="259" max="259" width="4.875" style="1035" customWidth="1"/>
    <col min="260" max="260" width="12.375" style="1035" customWidth="1"/>
    <col min="261" max="261" width="31.75" style="1035" customWidth="1"/>
    <col min="262" max="262" width="12.625" style="1035" customWidth="1"/>
    <col min="263" max="263" width="12.25" style="1035" customWidth="1"/>
    <col min="264" max="264" width="11" style="1035" customWidth="1"/>
    <col min="265" max="265" width="12.625" style="1035" customWidth="1"/>
    <col min="266" max="266" width="12.875" style="1035" customWidth="1"/>
    <col min="267" max="514" width="9" style="1035"/>
    <col min="515" max="515" width="4.875" style="1035" customWidth="1"/>
    <col min="516" max="516" width="12.375" style="1035" customWidth="1"/>
    <col min="517" max="517" width="31.75" style="1035" customWidth="1"/>
    <col min="518" max="518" width="12.625" style="1035" customWidth="1"/>
    <col min="519" max="519" width="12.25" style="1035" customWidth="1"/>
    <col min="520" max="520" width="11" style="1035" customWidth="1"/>
    <col min="521" max="521" width="12.625" style="1035" customWidth="1"/>
    <col min="522" max="522" width="12.875" style="1035" customWidth="1"/>
    <col min="523" max="770" width="9" style="1035"/>
    <col min="771" max="771" width="4.875" style="1035" customWidth="1"/>
    <col min="772" max="772" width="12.375" style="1035" customWidth="1"/>
    <col min="773" max="773" width="31.75" style="1035" customWidth="1"/>
    <col min="774" max="774" width="12.625" style="1035" customWidth="1"/>
    <col min="775" max="775" width="12.25" style="1035" customWidth="1"/>
    <col min="776" max="776" width="11" style="1035" customWidth="1"/>
    <col min="777" max="777" width="12.625" style="1035" customWidth="1"/>
    <col min="778" max="778" width="12.875" style="1035" customWidth="1"/>
    <col min="779" max="1026" width="9" style="1035"/>
    <col min="1027" max="1027" width="4.875" style="1035" customWidth="1"/>
    <col min="1028" max="1028" width="12.375" style="1035" customWidth="1"/>
    <col min="1029" max="1029" width="31.75" style="1035" customWidth="1"/>
    <col min="1030" max="1030" width="12.625" style="1035" customWidth="1"/>
    <col min="1031" max="1031" width="12.25" style="1035" customWidth="1"/>
    <col min="1032" max="1032" width="11" style="1035" customWidth="1"/>
    <col min="1033" max="1033" width="12.625" style="1035" customWidth="1"/>
    <col min="1034" max="1034" width="12.875" style="1035" customWidth="1"/>
    <col min="1035" max="1282" width="9" style="1035"/>
    <col min="1283" max="1283" width="4.875" style="1035" customWidth="1"/>
    <col min="1284" max="1284" width="12.375" style="1035" customWidth="1"/>
    <col min="1285" max="1285" width="31.75" style="1035" customWidth="1"/>
    <col min="1286" max="1286" width="12.625" style="1035" customWidth="1"/>
    <col min="1287" max="1287" width="12.25" style="1035" customWidth="1"/>
    <col min="1288" max="1288" width="11" style="1035" customWidth="1"/>
    <col min="1289" max="1289" width="12.625" style="1035" customWidth="1"/>
    <col min="1290" max="1290" width="12.875" style="1035" customWidth="1"/>
    <col min="1291" max="1538" width="9" style="1035"/>
    <col min="1539" max="1539" width="4.875" style="1035" customWidth="1"/>
    <col min="1540" max="1540" width="12.375" style="1035" customWidth="1"/>
    <col min="1541" max="1541" width="31.75" style="1035" customWidth="1"/>
    <col min="1542" max="1542" width="12.625" style="1035" customWidth="1"/>
    <col min="1543" max="1543" width="12.25" style="1035" customWidth="1"/>
    <col min="1544" max="1544" width="11" style="1035" customWidth="1"/>
    <col min="1545" max="1545" width="12.625" style="1035" customWidth="1"/>
    <col min="1546" max="1546" width="12.875" style="1035" customWidth="1"/>
    <col min="1547" max="1794" width="9" style="1035"/>
    <col min="1795" max="1795" width="4.875" style="1035" customWidth="1"/>
    <col min="1796" max="1796" width="12.375" style="1035" customWidth="1"/>
    <col min="1797" max="1797" width="31.75" style="1035" customWidth="1"/>
    <col min="1798" max="1798" width="12.625" style="1035" customWidth="1"/>
    <col min="1799" max="1799" width="12.25" style="1035" customWidth="1"/>
    <col min="1800" max="1800" width="11" style="1035" customWidth="1"/>
    <col min="1801" max="1801" width="12.625" style="1035" customWidth="1"/>
    <col min="1802" max="1802" width="12.875" style="1035" customWidth="1"/>
    <col min="1803" max="2050" width="9" style="1035"/>
    <col min="2051" max="2051" width="4.875" style="1035" customWidth="1"/>
    <col min="2052" max="2052" width="12.375" style="1035" customWidth="1"/>
    <col min="2053" max="2053" width="31.75" style="1035" customWidth="1"/>
    <col min="2054" max="2054" width="12.625" style="1035" customWidth="1"/>
    <col min="2055" max="2055" width="12.25" style="1035" customWidth="1"/>
    <col min="2056" max="2056" width="11" style="1035" customWidth="1"/>
    <col min="2057" max="2057" width="12.625" style="1035" customWidth="1"/>
    <col min="2058" max="2058" width="12.875" style="1035" customWidth="1"/>
    <col min="2059" max="2306" width="9" style="1035"/>
    <col min="2307" max="2307" width="4.875" style="1035" customWidth="1"/>
    <col min="2308" max="2308" width="12.375" style="1035" customWidth="1"/>
    <col min="2309" max="2309" width="31.75" style="1035" customWidth="1"/>
    <col min="2310" max="2310" width="12.625" style="1035" customWidth="1"/>
    <col min="2311" max="2311" width="12.25" style="1035" customWidth="1"/>
    <col min="2312" max="2312" width="11" style="1035" customWidth="1"/>
    <col min="2313" max="2313" width="12.625" style="1035" customWidth="1"/>
    <col min="2314" max="2314" width="12.875" style="1035" customWidth="1"/>
    <col min="2315" max="2562" width="9" style="1035"/>
    <col min="2563" max="2563" width="4.875" style="1035" customWidth="1"/>
    <col min="2564" max="2564" width="12.375" style="1035" customWidth="1"/>
    <col min="2565" max="2565" width="31.75" style="1035" customWidth="1"/>
    <col min="2566" max="2566" width="12.625" style="1035" customWidth="1"/>
    <col min="2567" max="2567" width="12.25" style="1035" customWidth="1"/>
    <col min="2568" max="2568" width="11" style="1035" customWidth="1"/>
    <col min="2569" max="2569" width="12.625" style="1035" customWidth="1"/>
    <col min="2570" max="2570" width="12.875" style="1035" customWidth="1"/>
    <col min="2571" max="2818" width="9" style="1035"/>
    <col min="2819" max="2819" width="4.875" style="1035" customWidth="1"/>
    <col min="2820" max="2820" width="12.375" style="1035" customWidth="1"/>
    <col min="2821" max="2821" width="31.75" style="1035" customWidth="1"/>
    <col min="2822" max="2822" width="12.625" style="1035" customWidth="1"/>
    <col min="2823" max="2823" width="12.25" style="1035" customWidth="1"/>
    <col min="2824" max="2824" width="11" style="1035" customWidth="1"/>
    <col min="2825" max="2825" width="12.625" style="1035" customWidth="1"/>
    <col min="2826" max="2826" width="12.875" style="1035" customWidth="1"/>
    <col min="2827" max="3074" width="9" style="1035"/>
    <col min="3075" max="3075" width="4.875" style="1035" customWidth="1"/>
    <col min="3076" max="3076" width="12.375" style="1035" customWidth="1"/>
    <col min="3077" max="3077" width="31.75" style="1035" customWidth="1"/>
    <col min="3078" max="3078" width="12.625" style="1035" customWidth="1"/>
    <col min="3079" max="3079" width="12.25" style="1035" customWidth="1"/>
    <col min="3080" max="3080" width="11" style="1035" customWidth="1"/>
    <col min="3081" max="3081" width="12.625" style="1035" customWidth="1"/>
    <col min="3082" max="3082" width="12.875" style="1035" customWidth="1"/>
    <col min="3083" max="3330" width="9" style="1035"/>
    <col min="3331" max="3331" width="4.875" style="1035" customWidth="1"/>
    <col min="3332" max="3332" width="12.375" style="1035" customWidth="1"/>
    <col min="3333" max="3333" width="31.75" style="1035" customWidth="1"/>
    <col min="3334" max="3334" width="12.625" style="1035" customWidth="1"/>
    <col min="3335" max="3335" width="12.25" style="1035" customWidth="1"/>
    <col min="3336" max="3336" width="11" style="1035" customWidth="1"/>
    <col min="3337" max="3337" width="12.625" style="1035" customWidth="1"/>
    <col min="3338" max="3338" width="12.875" style="1035" customWidth="1"/>
    <col min="3339" max="3586" width="9" style="1035"/>
    <col min="3587" max="3587" width="4.875" style="1035" customWidth="1"/>
    <col min="3588" max="3588" width="12.375" style="1035" customWidth="1"/>
    <col min="3589" max="3589" width="31.75" style="1035" customWidth="1"/>
    <col min="3590" max="3590" width="12.625" style="1035" customWidth="1"/>
    <col min="3591" max="3591" width="12.25" style="1035" customWidth="1"/>
    <col min="3592" max="3592" width="11" style="1035" customWidth="1"/>
    <col min="3593" max="3593" width="12.625" style="1035" customWidth="1"/>
    <col min="3594" max="3594" width="12.875" style="1035" customWidth="1"/>
    <col min="3595" max="3842" width="9" style="1035"/>
    <col min="3843" max="3843" width="4.875" style="1035" customWidth="1"/>
    <col min="3844" max="3844" width="12.375" style="1035" customWidth="1"/>
    <col min="3845" max="3845" width="31.75" style="1035" customWidth="1"/>
    <col min="3846" max="3846" width="12.625" style="1035" customWidth="1"/>
    <col min="3847" max="3847" width="12.25" style="1035" customWidth="1"/>
    <col min="3848" max="3848" width="11" style="1035" customWidth="1"/>
    <col min="3849" max="3849" width="12.625" style="1035" customWidth="1"/>
    <col min="3850" max="3850" width="12.875" style="1035" customWidth="1"/>
    <col min="3851" max="4098" width="9" style="1035"/>
    <col min="4099" max="4099" width="4.875" style="1035" customWidth="1"/>
    <col min="4100" max="4100" width="12.375" style="1035" customWidth="1"/>
    <col min="4101" max="4101" width="31.75" style="1035" customWidth="1"/>
    <col min="4102" max="4102" width="12.625" style="1035" customWidth="1"/>
    <col min="4103" max="4103" width="12.25" style="1035" customWidth="1"/>
    <col min="4104" max="4104" width="11" style="1035" customWidth="1"/>
    <col min="4105" max="4105" width="12.625" style="1035" customWidth="1"/>
    <col min="4106" max="4106" width="12.875" style="1035" customWidth="1"/>
    <col min="4107" max="4354" width="9" style="1035"/>
    <col min="4355" max="4355" width="4.875" style="1035" customWidth="1"/>
    <col min="4356" max="4356" width="12.375" style="1035" customWidth="1"/>
    <col min="4357" max="4357" width="31.75" style="1035" customWidth="1"/>
    <col min="4358" max="4358" width="12.625" style="1035" customWidth="1"/>
    <col min="4359" max="4359" width="12.25" style="1035" customWidth="1"/>
    <col min="4360" max="4360" width="11" style="1035" customWidth="1"/>
    <col min="4361" max="4361" width="12.625" style="1035" customWidth="1"/>
    <col min="4362" max="4362" width="12.875" style="1035" customWidth="1"/>
    <col min="4363" max="4610" width="9" style="1035"/>
    <col min="4611" max="4611" width="4.875" style="1035" customWidth="1"/>
    <col min="4612" max="4612" width="12.375" style="1035" customWidth="1"/>
    <col min="4613" max="4613" width="31.75" style="1035" customWidth="1"/>
    <col min="4614" max="4614" width="12.625" style="1035" customWidth="1"/>
    <col min="4615" max="4615" width="12.25" style="1035" customWidth="1"/>
    <col min="4616" max="4616" width="11" style="1035" customWidth="1"/>
    <col min="4617" max="4617" width="12.625" style="1035" customWidth="1"/>
    <col min="4618" max="4618" width="12.875" style="1035" customWidth="1"/>
    <col min="4619" max="4866" width="9" style="1035"/>
    <col min="4867" max="4867" width="4.875" style="1035" customWidth="1"/>
    <col min="4868" max="4868" width="12.375" style="1035" customWidth="1"/>
    <col min="4869" max="4869" width="31.75" style="1035" customWidth="1"/>
    <col min="4870" max="4870" width="12.625" style="1035" customWidth="1"/>
    <col min="4871" max="4871" width="12.25" style="1035" customWidth="1"/>
    <col min="4872" max="4872" width="11" style="1035" customWidth="1"/>
    <col min="4873" max="4873" width="12.625" style="1035" customWidth="1"/>
    <col min="4874" max="4874" width="12.875" style="1035" customWidth="1"/>
    <col min="4875" max="5122" width="9" style="1035"/>
    <col min="5123" max="5123" width="4.875" style="1035" customWidth="1"/>
    <col min="5124" max="5124" width="12.375" style="1035" customWidth="1"/>
    <col min="5125" max="5125" width="31.75" style="1035" customWidth="1"/>
    <col min="5126" max="5126" width="12.625" style="1035" customWidth="1"/>
    <col min="5127" max="5127" width="12.25" style="1035" customWidth="1"/>
    <col min="5128" max="5128" width="11" style="1035" customWidth="1"/>
    <col min="5129" max="5129" width="12.625" style="1035" customWidth="1"/>
    <col min="5130" max="5130" width="12.875" style="1035" customWidth="1"/>
    <col min="5131" max="5378" width="9" style="1035"/>
    <col min="5379" max="5379" width="4.875" style="1035" customWidth="1"/>
    <col min="5380" max="5380" width="12.375" style="1035" customWidth="1"/>
    <col min="5381" max="5381" width="31.75" style="1035" customWidth="1"/>
    <col min="5382" max="5382" width="12.625" style="1035" customWidth="1"/>
    <col min="5383" max="5383" width="12.25" style="1035" customWidth="1"/>
    <col min="5384" max="5384" width="11" style="1035" customWidth="1"/>
    <col min="5385" max="5385" width="12.625" style="1035" customWidth="1"/>
    <col min="5386" max="5386" width="12.875" style="1035" customWidth="1"/>
    <col min="5387" max="5634" width="9" style="1035"/>
    <col min="5635" max="5635" width="4.875" style="1035" customWidth="1"/>
    <col min="5636" max="5636" width="12.375" style="1035" customWidth="1"/>
    <col min="5637" max="5637" width="31.75" style="1035" customWidth="1"/>
    <col min="5638" max="5638" width="12.625" style="1035" customWidth="1"/>
    <col min="5639" max="5639" width="12.25" style="1035" customWidth="1"/>
    <col min="5640" max="5640" width="11" style="1035" customWidth="1"/>
    <col min="5641" max="5641" width="12.625" style="1035" customWidth="1"/>
    <col min="5642" max="5642" width="12.875" style="1035" customWidth="1"/>
    <col min="5643" max="5890" width="9" style="1035"/>
    <col min="5891" max="5891" width="4.875" style="1035" customWidth="1"/>
    <col min="5892" max="5892" width="12.375" style="1035" customWidth="1"/>
    <col min="5893" max="5893" width="31.75" style="1035" customWidth="1"/>
    <col min="5894" max="5894" width="12.625" style="1035" customWidth="1"/>
    <col min="5895" max="5895" width="12.25" style="1035" customWidth="1"/>
    <col min="5896" max="5896" width="11" style="1035" customWidth="1"/>
    <col min="5897" max="5897" width="12.625" style="1035" customWidth="1"/>
    <col min="5898" max="5898" width="12.875" style="1035" customWidth="1"/>
    <col min="5899" max="6146" width="9" style="1035"/>
    <col min="6147" max="6147" width="4.875" style="1035" customWidth="1"/>
    <col min="6148" max="6148" width="12.375" style="1035" customWidth="1"/>
    <col min="6149" max="6149" width="31.75" style="1035" customWidth="1"/>
    <col min="6150" max="6150" width="12.625" style="1035" customWidth="1"/>
    <col min="6151" max="6151" width="12.25" style="1035" customWidth="1"/>
    <col min="6152" max="6152" width="11" style="1035" customWidth="1"/>
    <col min="6153" max="6153" width="12.625" style="1035" customWidth="1"/>
    <col min="6154" max="6154" width="12.875" style="1035" customWidth="1"/>
    <col min="6155" max="6402" width="9" style="1035"/>
    <col min="6403" max="6403" width="4.875" style="1035" customWidth="1"/>
    <col min="6404" max="6404" width="12.375" style="1035" customWidth="1"/>
    <col min="6405" max="6405" width="31.75" style="1035" customWidth="1"/>
    <col min="6406" max="6406" width="12.625" style="1035" customWidth="1"/>
    <col min="6407" max="6407" width="12.25" style="1035" customWidth="1"/>
    <col min="6408" max="6408" width="11" style="1035" customWidth="1"/>
    <col min="6409" max="6409" width="12.625" style="1035" customWidth="1"/>
    <col min="6410" max="6410" width="12.875" style="1035" customWidth="1"/>
    <col min="6411" max="6658" width="9" style="1035"/>
    <col min="6659" max="6659" width="4.875" style="1035" customWidth="1"/>
    <col min="6660" max="6660" width="12.375" style="1035" customWidth="1"/>
    <col min="6661" max="6661" width="31.75" style="1035" customWidth="1"/>
    <col min="6662" max="6662" width="12.625" style="1035" customWidth="1"/>
    <col min="6663" max="6663" width="12.25" style="1035" customWidth="1"/>
    <col min="6664" max="6664" width="11" style="1035" customWidth="1"/>
    <col min="6665" max="6665" width="12.625" style="1035" customWidth="1"/>
    <col min="6666" max="6666" width="12.875" style="1035" customWidth="1"/>
    <col min="6667" max="6914" width="9" style="1035"/>
    <col min="6915" max="6915" width="4.875" style="1035" customWidth="1"/>
    <col min="6916" max="6916" width="12.375" style="1035" customWidth="1"/>
    <col min="6917" max="6917" width="31.75" style="1035" customWidth="1"/>
    <col min="6918" max="6918" width="12.625" style="1035" customWidth="1"/>
    <col min="6919" max="6919" width="12.25" style="1035" customWidth="1"/>
    <col min="6920" max="6920" width="11" style="1035" customWidth="1"/>
    <col min="6921" max="6921" width="12.625" style="1035" customWidth="1"/>
    <col min="6922" max="6922" width="12.875" style="1035" customWidth="1"/>
    <col min="6923" max="7170" width="9" style="1035"/>
    <col min="7171" max="7171" width="4.875" style="1035" customWidth="1"/>
    <col min="7172" max="7172" width="12.375" style="1035" customWidth="1"/>
    <col min="7173" max="7173" width="31.75" style="1035" customWidth="1"/>
    <col min="7174" max="7174" width="12.625" style="1035" customWidth="1"/>
    <col min="7175" max="7175" width="12.25" style="1035" customWidth="1"/>
    <col min="7176" max="7176" width="11" style="1035" customWidth="1"/>
    <col min="7177" max="7177" width="12.625" style="1035" customWidth="1"/>
    <col min="7178" max="7178" width="12.875" style="1035" customWidth="1"/>
    <col min="7179" max="7426" width="9" style="1035"/>
    <col min="7427" max="7427" width="4.875" style="1035" customWidth="1"/>
    <col min="7428" max="7428" width="12.375" style="1035" customWidth="1"/>
    <col min="7429" max="7429" width="31.75" style="1035" customWidth="1"/>
    <col min="7430" max="7430" width="12.625" style="1035" customWidth="1"/>
    <col min="7431" max="7431" width="12.25" style="1035" customWidth="1"/>
    <col min="7432" max="7432" width="11" style="1035" customWidth="1"/>
    <col min="7433" max="7433" width="12.625" style="1035" customWidth="1"/>
    <col min="7434" max="7434" width="12.875" style="1035" customWidth="1"/>
    <col min="7435" max="7682" width="9" style="1035"/>
    <col min="7683" max="7683" width="4.875" style="1035" customWidth="1"/>
    <col min="7684" max="7684" width="12.375" style="1035" customWidth="1"/>
    <col min="7685" max="7685" width="31.75" style="1035" customWidth="1"/>
    <col min="7686" max="7686" width="12.625" style="1035" customWidth="1"/>
    <col min="7687" max="7687" width="12.25" style="1035" customWidth="1"/>
    <col min="7688" max="7688" width="11" style="1035" customWidth="1"/>
    <col min="7689" max="7689" width="12.625" style="1035" customWidth="1"/>
    <col min="7690" max="7690" width="12.875" style="1035" customWidth="1"/>
    <col min="7691" max="7938" width="9" style="1035"/>
    <col min="7939" max="7939" width="4.875" style="1035" customWidth="1"/>
    <col min="7940" max="7940" width="12.375" style="1035" customWidth="1"/>
    <col min="7941" max="7941" width="31.75" style="1035" customWidth="1"/>
    <col min="7942" max="7942" width="12.625" style="1035" customWidth="1"/>
    <col min="7943" max="7943" width="12.25" style="1035" customWidth="1"/>
    <col min="7944" max="7944" width="11" style="1035" customWidth="1"/>
    <col min="7945" max="7945" width="12.625" style="1035" customWidth="1"/>
    <col min="7946" max="7946" width="12.875" style="1035" customWidth="1"/>
    <col min="7947" max="8194" width="9" style="1035"/>
    <col min="8195" max="8195" width="4.875" style="1035" customWidth="1"/>
    <col min="8196" max="8196" width="12.375" style="1035" customWidth="1"/>
    <col min="8197" max="8197" width="31.75" style="1035" customWidth="1"/>
    <col min="8198" max="8198" width="12.625" style="1035" customWidth="1"/>
    <col min="8199" max="8199" width="12.25" style="1035" customWidth="1"/>
    <col min="8200" max="8200" width="11" style="1035" customWidth="1"/>
    <col min="8201" max="8201" width="12.625" style="1035" customWidth="1"/>
    <col min="8202" max="8202" width="12.875" style="1035" customWidth="1"/>
    <col min="8203" max="8450" width="9" style="1035"/>
    <col min="8451" max="8451" width="4.875" style="1035" customWidth="1"/>
    <col min="8452" max="8452" width="12.375" style="1035" customWidth="1"/>
    <col min="8453" max="8453" width="31.75" style="1035" customWidth="1"/>
    <col min="8454" max="8454" width="12.625" style="1035" customWidth="1"/>
    <col min="8455" max="8455" width="12.25" style="1035" customWidth="1"/>
    <col min="8456" max="8456" width="11" style="1035" customWidth="1"/>
    <col min="8457" max="8457" width="12.625" style="1035" customWidth="1"/>
    <col min="8458" max="8458" width="12.875" style="1035" customWidth="1"/>
    <col min="8459" max="8706" width="9" style="1035"/>
    <col min="8707" max="8707" width="4.875" style="1035" customWidth="1"/>
    <col min="8708" max="8708" width="12.375" style="1035" customWidth="1"/>
    <col min="8709" max="8709" width="31.75" style="1035" customWidth="1"/>
    <col min="8710" max="8710" width="12.625" style="1035" customWidth="1"/>
    <col min="8711" max="8711" width="12.25" style="1035" customWidth="1"/>
    <col min="8712" max="8712" width="11" style="1035" customWidth="1"/>
    <col min="8713" max="8713" width="12.625" style="1035" customWidth="1"/>
    <col min="8714" max="8714" width="12.875" style="1035" customWidth="1"/>
    <col min="8715" max="8962" width="9" style="1035"/>
    <col min="8963" max="8963" width="4.875" style="1035" customWidth="1"/>
    <col min="8964" max="8964" width="12.375" style="1035" customWidth="1"/>
    <col min="8965" max="8965" width="31.75" style="1035" customWidth="1"/>
    <col min="8966" max="8966" width="12.625" style="1035" customWidth="1"/>
    <col min="8967" max="8967" width="12.25" style="1035" customWidth="1"/>
    <col min="8968" max="8968" width="11" style="1035" customWidth="1"/>
    <col min="8969" max="8969" width="12.625" style="1035" customWidth="1"/>
    <col min="8970" max="8970" width="12.875" style="1035" customWidth="1"/>
    <col min="8971" max="9218" width="9" style="1035"/>
    <col min="9219" max="9219" width="4.875" style="1035" customWidth="1"/>
    <col min="9220" max="9220" width="12.375" style="1035" customWidth="1"/>
    <col min="9221" max="9221" width="31.75" style="1035" customWidth="1"/>
    <col min="9222" max="9222" width="12.625" style="1035" customWidth="1"/>
    <col min="9223" max="9223" width="12.25" style="1035" customWidth="1"/>
    <col min="9224" max="9224" width="11" style="1035" customWidth="1"/>
    <col min="9225" max="9225" width="12.625" style="1035" customWidth="1"/>
    <col min="9226" max="9226" width="12.875" style="1035" customWidth="1"/>
    <col min="9227" max="9474" width="9" style="1035"/>
    <col min="9475" max="9475" width="4.875" style="1035" customWidth="1"/>
    <col min="9476" max="9476" width="12.375" style="1035" customWidth="1"/>
    <col min="9477" max="9477" width="31.75" style="1035" customWidth="1"/>
    <col min="9478" max="9478" width="12.625" style="1035" customWidth="1"/>
    <col min="9479" max="9479" width="12.25" style="1035" customWidth="1"/>
    <col min="9480" max="9480" width="11" style="1035" customWidth="1"/>
    <col min="9481" max="9481" width="12.625" style="1035" customWidth="1"/>
    <col min="9482" max="9482" width="12.875" style="1035" customWidth="1"/>
    <col min="9483" max="9730" width="9" style="1035"/>
    <col min="9731" max="9731" width="4.875" style="1035" customWidth="1"/>
    <col min="9732" max="9732" width="12.375" style="1035" customWidth="1"/>
    <col min="9733" max="9733" width="31.75" style="1035" customWidth="1"/>
    <col min="9734" max="9734" width="12.625" style="1035" customWidth="1"/>
    <col min="9735" max="9735" width="12.25" style="1035" customWidth="1"/>
    <col min="9736" max="9736" width="11" style="1035" customWidth="1"/>
    <col min="9737" max="9737" width="12.625" style="1035" customWidth="1"/>
    <col min="9738" max="9738" width="12.875" style="1035" customWidth="1"/>
    <col min="9739" max="9986" width="9" style="1035"/>
    <col min="9987" max="9987" width="4.875" style="1035" customWidth="1"/>
    <col min="9988" max="9988" width="12.375" style="1035" customWidth="1"/>
    <col min="9989" max="9989" width="31.75" style="1035" customWidth="1"/>
    <col min="9990" max="9990" width="12.625" style="1035" customWidth="1"/>
    <col min="9991" max="9991" width="12.25" style="1035" customWidth="1"/>
    <col min="9992" max="9992" width="11" style="1035" customWidth="1"/>
    <col min="9993" max="9993" width="12.625" style="1035" customWidth="1"/>
    <col min="9994" max="9994" width="12.875" style="1035" customWidth="1"/>
    <col min="9995" max="10242" width="9" style="1035"/>
    <col min="10243" max="10243" width="4.875" style="1035" customWidth="1"/>
    <col min="10244" max="10244" width="12.375" style="1035" customWidth="1"/>
    <col min="10245" max="10245" width="31.75" style="1035" customWidth="1"/>
    <col min="10246" max="10246" width="12.625" style="1035" customWidth="1"/>
    <col min="10247" max="10247" width="12.25" style="1035" customWidth="1"/>
    <col min="10248" max="10248" width="11" style="1035" customWidth="1"/>
    <col min="10249" max="10249" width="12.625" style="1035" customWidth="1"/>
    <col min="10250" max="10250" width="12.875" style="1035" customWidth="1"/>
    <col min="10251" max="10498" width="9" style="1035"/>
    <col min="10499" max="10499" width="4.875" style="1035" customWidth="1"/>
    <col min="10500" max="10500" width="12.375" style="1035" customWidth="1"/>
    <col min="10501" max="10501" width="31.75" style="1035" customWidth="1"/>
    <col min="10502" max="10502" width="12.625" style="1035" customWidth="1"/>
    <col min="10503" max="10503" width="12.25" style="1035" customWidth="1"/>
    <col min="10504" max="10504" width="11" style="1035" customWidth="1"/>
    <col min="10505" max="10505" width="12.625" style="1035" customWidth="1"/>
    <col min="10506" max="10506" width="12.875" style="1035" customWidth="1"/>
    <col min="10507" max="10754" width="9" style="1035"/>
    <col min="10755" max="10755" width="4.875" style="1035" customWidth="1"/>
    <col min="10756" max="10756" width="12.375" style="1035" customWidth="1"/>
    <col min="10757" max="10757" width="31.75" style="1035" customWidth="1"/>
    <col min="10758" max="10758" width="12.625" style="1035" customWidth="1"/>
    <col min="10759" max="10759" width="12.25" style="1035" customWidth="1"/>
    <col min="10760" max="10760" width="11" style="1035" customWidth="1"/>
    <col min="10761" max="10761" width="12.625" style="1035" customWidth="1"/>
    <col min="10762" max="10762" width="12.875" style="1035" customWidth="1"/>
    <col min="10763" max="11010" width="9" style="1035"/>
    <col min="11011" max="11011" width="4.875" style="1035" customWidth="1"/>
    <col min="11012" max="11012" width="12.375" style="1035" customWidth="1"/>
    <col min="11013" max="11013" width="31.75" style="1035" customWidth="1"/>
    <col min="11014" max="11014" width="12.625" style="1035" customWidth="1"/>
    <col min="11015" max="11015" width="12.25" style="1035" customWidth="1"/>
    <col min="11016" max="11016" width="11" style="1035" customWidth="1"/>
    <col min="11017" max="11017" width="12.625" style="1035" customWidth="1"/>
    <col min="11018" max="11018" width="12.875" style="1035" customWidth="1"/>
    <col min="11019" max="11266" width="9" style="1035"/>
    <col min="11267" max="11267" width="4.875" style="1035" customWidth="1"/>
    <col min="11268" max="11268" width="12.375" style="1035" customWidth="1"/>
    <col min="11269" max="11269" width="31.75" style="1035" customWidth="1"/>
    <col min="11270" max="11270" width="12.625" style="1035" customWidth="1"/>
    <col min="11271" max="11271" width="12.25" style="1035" customWidth="1"/>
    <col min="11272" max="11272" width="11" style="1035" customWidth="1"/>
    <col min="11273" max="11273" width="12.625" style="1035" customWidth="1"/>
    <col min="11274" max="11274" width="12.875" style="1035" customWidth="1"/>
    <col min="11275" max="11522" width="9" style="1035"/>
    <col min="11523" max="11523" width="4.875" style="1035" customWidth="1"/>
    <col min="11524" max="11524" width="12.375" style="1035" customWidth="1"/>
    <col min="11525" max="11525" width="31.75" style="1035" customWidth="1"/>
    <col min="11526" max="11526" width="12.625" style="1035" customWidth="1"/>
    <col min="11527" max="11527" width="12.25" style="1035" customWidth="1"/>
    <col min="11528" max="11528" width="11" style="1035" customWidth="1"/>
    <col min="11529" max="11529" width="12.625" style="1035" customWidth="1"/>
    <col min="11530" max="11530" width="12.875" style="1035" customWidth="1"/>
    <col min="11531" max="11778" width="9" style="1035"/>
    <col min="11779" max="11779" width="4.875" style="1035" customWidth="1"/>
    <col min="11780" max="11780" width="12.375" style="1035" customWidth="1"/>
    <col min="11781" max="11781" width="31.75" style="1035" customWidth="1"/>
    <col min="11782" max="11782" width="12.625" style="1035" customWidth="1"/>
    <col min="11783" max="11783" width="12.25" style="1035" customWidth="1"/>
    <col min="11784" max="11784" width="11" style="1035" customWidth="1"/>
    <col min="11785" max="11785" width="12.625" style="1035" customWidth="1"/>
    <col min="11786" max="11786" width="12.875" style="1035" customWidth="1"/>
    <col min="11787" max="12034" width="9" style="1035"/>
    <col min="12035" max="12035" width="4.875" style="1035" customWidth="1"/>
    <col min="12036" max="12036" width="12.375" style="1035" customWidth="1"/>
    <col min="12037" max="12037" width="31.75" style="1035" customWidth="1"/>
    <col min="12038" max="12038" width="12.625" style="1035" customWidth="1"/>
    <col min="12039" max="12039" width="12.25" style="1035" customWidth="1"/>
    <col min="12040" max="12040" width="11" style="1035" customWidth="1"/>
    <col min="12041" max="12041" width="12.625" style="1035" customWidth="1"/>
    <col min="12042" max="12042" width="12.875" style="1035" customWidth="1"/>
    <col min="12043" max="12290" width="9" style="1035"/>
    <col min="12291" max="12291" width="4.875" style="1035" customWidth="1"/>
    <col min="12292" max="12292" width="12.375" style="1035" customWidth="1"/>
    <col min="12293" max="12293" width="31.75" style="1035" customWidth="1"/>
    <col min="12294" max="12294" width="12.625" style="1035" customWidth="1"/>
    <col min="12295" max="12295" width="12.25" style="1035" customWidth="1"/>
    <col min="12296" max="12296" width="11" style="1035" customWidth="1"/>
    <col min="12297" max="12297" width="12.625" style="1035" customWidth="1"/>
    <col min="12298" max="12298" width="12.875" style="1035" customWidth="1"/>
    <col min="12299" max="12546" width="9" style="1035"/>
    <col min="12547" max="12547" width="4.875" style="1035" customWidth="1"/>
    <col min="12548" max="12548" width="12.375" style="1035" customWidth="1"/>
    <col min="12549" max="12549" width="31.75" style="1035" customWidth="1"/>
    <col min="12550" max="12550" width="12.625" style="1035" customWidth="1"/>
    <col min="12551" max="12551" width="12.25" style="1035" customWidth="1"/>
    <col min="12552" max="12552" width="11" style="1035" customWidth="1"/>
    <col min="12553" max="12553" width="12.625" style="1035" customWidth="1"/>
    <col min="12554" max="12554" width="12.875" style="1035" customWidth="1"/>
    <col min="12555" max="12802" width="9" style="1035"/>
    <col min="12803" max="12803" width="4.875" style="1035" customWidth="1"/>
    <col min="12804" max="12804" width="12.375" style="1035" customWidth="1"/>
    <col min="12805" max="12805" width="31.75" style="1035" customWidth="1"/>
    <col min="12806" max="12806" width="12.625" style="1035" customWidth="1"/>
    <col min="12807" max="12807" width="12.25" style="1035" customWidth="1"/>
    <col min="12808" max="12808" width="11" style="1035" customWidth="1"/>
    <col min="12809" max="12809" width="12.625" style="1035" customWidth="1"/>
    <col min="12810" max="12810" width="12.875" style="1035" customWidth="1"/>
    <col min="12811" max="13058" width="9" style="1035"/>
    <col min="13059" max="13059" width="4.875" style="1035" customWidth="1"/>
    <col min="13060" max="13060" width="12.375" style="1035" customWidth="1"/>
    <col min="13061" max="13061" width="31.75" style="1035" customWidth="1"/>
    <col min="13062" max="13062" width="12.625" style="1035" customWidth="1"/>
    <col min="13063" max="13063" width="12.25" style="1035" customWidth="1"/>
    <col min="13064" max="13064" width="11" style="1035" customWidth="1"/>
    <col min="13065" max="13065" width="12.625" style="1035" customWidth="1"/>
    <col min="13066" max="13066" width="12.875" style="1035" customWidth="1"/>
    <col min="13067" max="13314" width="9" style="1035"/>
    <col min="13315" max="13315" width="4.875" style="1035" customWidth="1"/>
    <col min="13316" max="13316" width="12.375" style="1035" customWidth="1"/>
    <col min="13317" max="13317" width="31.75" style="1035" customWidth="1"/>
    <col min="13318" max="13318" width="12.625" style="1035" customWidth="1"/>
    <col min="13319" max="13319" width="12.25" style="1035" customWidth="1"/>
    <col min="13320" max="13320" width="11" style="1035" customWidth="1"/>
    <col min="13321" max="13321" width="12.625" style="1035" customWidth="1"/>
    <col min="13322" max="13322" width="12.875" style="1035" customWidth="1"/>
    <col min="13323" max="13570" width="9" style="1035"/>
    <col min="13571" max="13571" width="4.875" style="1035" customWidth="1"/>
    <col min="13572" max="13572" width="12.375" style="1035" customWidth="1"/>
    <col min="13573" max="13573" width="31.75" style="1035" customWidth="1"/>
    <col min="13574" max="13574" width="12.625" style="1035" customWidth="1"/>
    <col min="13575" max="13575" width="12.25" style="1035" customWidth="1"/>
    <col min="13576" max="13576" width="11" style="1035" customWidth="1"/>
    <col min="13577" max="13577" width="12.625" style="1035" customWidth="1"/>
    <col min="13578" max="13578" width="12.875" style="1035" customWidth="1"/>
    <col min="13579" max="13826" width="9" style="1035"/>
    <col min="13827" max="13827" width="4.875" style="1035" customWidth="1"/>
    <col min="13828" max="13828" width="12.375" style="1035" customWidth="1"/>
    <col min="13829" max="13829" width="31.75" style="1035" customWidth="1"/>
    <col min="13830" max="13830" width="12.625" style="1035" customWidth="1"/>
    <col min="13831" max="13831" width="12.25" style="1035" customWidth="1"/>
    <col min="13832" max="13832" width="11" style="1035" customWidth="1"/>
    <col min="13833" max="13833" width="12.625" style="1035" customWidth="1"/>
    <col min="13834" max="13834" width="12.875" style="1035" customWidth="1"/>
    <col min="13835" max="14082" width="9" style="1035"/>
    <col min="14083" max="14083" width="4.875" style="1035" customWidth="1"/>
    <col min="14084" max="14084" width="12.375" style="1035" customWidth="1"/>
    <col min="14085" max="14085" width="31.75" style="1035" customWidth="1"/>
    <col min="14086" max="14086" width="12.625" style="1035" customWidth="1"/>
    <col min="14087" max="14087" width="12.25" style="1035" customWidth="1"/>
    <col min="14088" max="14088" width="11" style="1035" customWidth="1"/>
    <col min="14089" max="14089" width="12.625" style="1035" customWidth="1"/>
    <col min="14090" max="14090" width="12.875" style="1035" customWidth="1"/>
    <col min="14091" max="14338" width="9" style="1035"/>
    <col min="14339" max="14339" width="4.875" style="1035" customWidth="1"/>
    <col min="14340" max="14340" width="12.375" style="1035" customWidth="1"/>
    <col min="14341" max="14341" width="31.75" style="1035" customWidth="1"/>
    <col min="14342" max="14342" width="12.625" style="1035" customWidth="1"/>
    <col min="14343" max="14343" width="12.25" style="1035" customWidth="1"/>
    <col min="14344" max="14344" width="11" style="1035" customWidth="1"/>
    <col min="14345" max="14345" width="12.625" style="1035" customWidth="1"/>
    <col min="14346" max="14346" width="12.875" style="1035" customWidth="1"/>
    <col min="14347" max="14594" width="9" style="1035"/>
    <col min="14595" max="14595" width="4.875" style="1035" customWidth="1"/>
    <col min="14596" max="14596" width="12.375" style="1035" customWidth="1"/>
    <col min="14597" max="14597" width="31.75" style="1035" customWidth="1"/>
    <col min="14598" max="14598" width="12.625" style="1035" customWidth="1"/>
    <col min="14599" max="14599" width="12.25" style="1035" customWidth="1"/>
    <col min="14600" max="14600" width="11" style="1035" customWidth="1"/>
    <col min="14601" max="14601" width="12.625" style="1035" customWidth="1"/>
    <col min="14602" max="14602" width="12.875" style="1035" customWidth="1"/>
    <col min="14603" max="14850" width="9" style="1035"/>
    <col min="14851" max="14851" width="4.875" style="1035" customWidth="1"/>
    <col min="14852" max="14852" width="12.375" style="1035" customWidth="1"/>
    <col min="14853" max="14853" width="31.75" style="1035" customWidth="1"/>
    <col min="14854" max="14854" width="12.625" style="1035" customWidth="1"/>
    <col min="14855" max="14855" width="12.25" style="1035" customWidth="1"/>
    <col min="14856" max="14856" width="11" style="1035" customWidth="1"/>
    <col min="14857" max="14857" width="12.625" style="1035" customWidth="1"/>
    <col min="14858" max="14858" width="12.875" style="1035" customWidth="1"/>
    <col min="14859" max="15106" width="9" style="1035"/>
    <col min="15107" max="15107" width="4.875" style="1035" customWidth="1"/>
    <col min="15108" max="15108" width="12.375" style="1035" customWidth="1"/>
    <col min="15109" max="15109" width="31.75" style="1035" customWidth="1"/>
    <col min="15110" max="15110" width="12.625" style="1035" customWidth="1"/>
    <col min="15111" max="15111" width="12.25" style="1035" customWidth="1"/>
    <col min="15112" max="15112" width="11" style="1035" customWidth="1"/>
    <col min="15113" max="15113" width="12.625" style="1035" customWidth="1"/>
    <col min="15114" max="15114" width="12.875" style="1035" customWidth="1"/>
    <col min="15115" max="15362" width="9" style="1035"/>
    <col min="15363" max="15363" width="4.875" style="1035" customWidth="1"/>
    <col min="15364" max="15364" width="12.375" style="1035" customWidth="1"/>
    <col min="15365" max="15365" width="31.75" style="1035" customWidth="1"/>
    <col min="15366" max="15366" width="12.625" style="1035" customWidth="1"/>
    <col min="15367" max="15367" width="12.25" style="1035" customWidth="1"/>
    <col min="15368" max="15368" width="11" style="1035" customWidth="1"/>
    <col min="15369" max="15369" width="12.625" style="1035" customWidth="1"/>
    <col min="15370" max="15370" width="12.875" style="1035" customWidth="1"/>
    <col min="15371" max="15618" width="9" style="1035"/>
    <col min="15619" max="15619" width="4.875" style="1035" customWidth="1"/>
    <col min="15620" max="15620" width="12.375" style="1035" customWidth="1"/>
    <col min="15621" max="15621" width="31.75" style="1035" customWidth="1"/>
    <col min="15622" max="15622" width="12.625" style="1035" customWidth="1"/>
    <col min="15623" max="15623" width="12.25" style="1035" customWidth="1"/>
    <col min="15624" max="15624" width="11" style="1035" customWidth="1"/>
    <col min="15625" max="15625" width="12.625" style="1035" customWidth="1"/>
    <col min="15626" max="15626" width="12.875" style="1035" customWidth="1"/>
    <col min="15627" max="15874" width="9" style="1035"/>
    <col min="15875" max="15875" width="4.875" style="1035" customWidth="1"/>
    <col min="15876" max="15876" width="12.375" style="1035" customWidth="1"/>
    <col min="15877" max="15877" width="31.75" style="1035" customWidth="1"/>
    <col min="15878" max="15878" width="12.625" style="1035" customWidth="1"/>
    <col min="15879" max="15879" width="12.25" style="1035" customWidth="1"/>
    <col min="15880" max="15880" width="11" style="1035" customWidth="1"/>
    <col min="15881" max="15881" width="12.625" style="1035" customWidth="1"/>
    <col min="15882" max="15882" width="12.875" style="1035" customWidth="1"/>
    <col min="15883" max="16130" width="9" style="1035"/>
    <col min="16131" max="16131" width="4.875" style="1035" customWidth="1"/>
    <col min="16132" max="16132" width="12.375" style="1035" customWidth="1"/>
    <col min="16133" max="16133" width="31.75" style="1035" customWidth="1"/>
    <col min="16134" max="16134" width="12.625" style="1035" customWidth="1"/>
    <col min="16135" max="16135" width="12.25" style="1035" customWidth="1"/>
    <col min="16136" max="16136" width="11" style="1035" customWidth="1"/>
    <col min="16137" max="16137" width="12.625" style="1035" customWidth="1"/>
    <col min="16138" max="16138" width="12.875" style="1035" customWidth="1"/>
    <col min="16139" max="16384" width="9" style="1035"/>
  </cols>
  <sheetData>
    <row r="2" spans="2:18" s="682" customFormat="1" ht="20.25" x14ac:dyDescent="0.3">
      <c r="B2" s="681" t="s">
        <v>701</v>
      </c>
      <c r="C2" s="1058"/>
      <c r="D2" s="1058"/>
      <c r="E2" s="1059"/>
      <c r="F2" s="1060"/>
      <c r="G2" s="1060"/>
      <c r="H2" s="684"/>
      <c r="I2" s="684"/>
      <c r="L2" s="685"/>
      <c r="M2" s="685"/>
      <c r="N2" s="685"/>
      <c r="O2" s="685"/>
      <c r="P2" s="685"/>
      <c r="Q2" s="685"/>
      <c r="R2" s="685"/>
    </row>
    <row r="3" spans="2:18" s="682" customFormat="1" ht="18" x14ac:dyDescent="0.25">
      <c r="B3" s="2109" t="s">
        <v>1209</v>
      </c>
      <c r="F3" s="683"/>
      <c r="G3" s="683"/>
      <c r="H3" s="684"/>
      <c r="I3" s="684"/>
      <c r="L3" s="685"/>
      <c r="M3" s="685"/>
      <c r="N3" s="685"/>
      <c r="O3" s="685"/>
      <c r="P3" s="685"/>
      <c r="Q3" s="685"/>
      <c r="R3" s="685"/>
    </row>
    <row r="4" spans="2:18" s="2100" customFormat="1" ht="18" x14ac:dyDescent="0.25">
      <c r="B4" s="2109" t="s">
        <v>1210</v>
      </c>
      <c r="F4" s="2101"/>
      <c r="G4" s="2101"/>
      <c r="H4" s="2102"/>
      <c r="I4" s="2102"/>
      <c r="L4" s="2103"/>
      <c r="M4" s="2103"/>
      <c r="N4" s="2103"/>
      <c r="O4" s="2103"/>
      <c r="P4" s="2103"/>
      <c r="Q4" s="2103"/>
      <c r="R4" s="2103"/>
    </row>
    <row r="5" spans="2:18" s="682" customFormat="1" ht="9.75" customHeight="1" x14ac:dyDescent="0.2">
      <c r="F5" s="684"/>
      <c r="G5" s="684"/>
      <c r="H5" s="684"/>
      <c r="I5" s="684"/>
      <c r="L5" s="685"/>
      <c r="M5" s="685"/>
      <c r="N5" s="685"/>
      <c r="O5" s="685"/>
      <c r="P5" s="685"/>
      <c r="Q5" s="685"/>
      <c r="R5" s="685"/>
    </row>
    <row r="6" spans="2:18" s="682" customFormat="1" ht="18" x14ac:dyDescent="0.25">
      <c r="B6" s="3115" t="s">
        <v>702</v>
      </c>
      <c r="C6" s="3116"/>
      <c r="D6" s="3116"/>
      <c r="E6" s="3116"/>
      <c r="F6" s="3116"/>
      <c r="G6" s="3116"/>
      <c r="H6" s="3116"/>
      <c r="I6" s="3116"/>
      <c r="J6" s="3117"/>
      <c r="L6" s="685"/>
      <c r="M6" s="685"/>
      <c r="N6" s="685"/>
      <c r="O6" s="685"/>
      <c r="P6" s="685"/>
      <c r="Q6" s="685"/>
      <c r="R6" s="685"/>
    </row>
    <row r="7" spans="2:18" s="682" customFormat="1" ht="30" x14ac:dyDescent="0.2">
      <c r="B7" s="688" t="s">
        <v>424</v>
      </c>
      <c r="C7" s="3151" t="s">
        <v>425</v>
      </c>
      <c r="D7" s="3151"/>
      <c r="E7" s="3151"/>
      <c r="F7" s="3151"/>
      <c r="G7" s="3151"/>
      <c r="H7" s="3151"/>
      <c r="I7" s="690" t="s">
        <v>426</v>
      </c>
      <c r="J7" s="691" t="s">
        <v>282</v>
      </c>
      <c r="L7" s="685"/>
      <c r="M7" s="685"/>
      <c r="N7" s="685"/>
      <c r="O7" s="685"/>
      <c r="P7" s="685"/>
      <c r="Q7" s="685"/>
      <c r="R7" s="685"/>
    </row>
    <row r="8" spans="2:18" s="682" customFormat="1" ht="30" customHeight="1" x14ac:dyDescent="0.2">
      <c r="B8" s="695">
        <v>1</v>
      </c>
      <c r="C8" s="3152" t="s">
        <v>703</v>
      </c>
      <c r="D8" s="3152"/>
      <c r="E8" s="3152"/>
      <c r="F8" s="3152"/>
      <c r="G8" s="3152"/>
      <c r="H8" s="3152"/>
      <c r="I8" s="1061" t="str">
        <f>IF(M14&lt;&gt;0,"มี","ไม่มี")</f>
        <v>ไม่มี</v>
      </c>
      <c r="J8" s="1062">
        <f>IF(I8="มี",2.5,0)</f>
        <v>0</v>
      </c>
      <c r="L8" s="685"/>
      <c r="M8" s="685"/>
      <c r="N8" s="685"/>
      <c r="O8" s="685"/>
      <c r="P8" s="685"/>
      <c r="Q8" s="685"/>
      <c r="R8" s="685"/>
    </row>
    <row r="9" spans="2:18" s="682" customFormat="1" ht="28.5" customHeight="1" x14ac:dyDescent="0.2">
      <c r="B9" s="3153">
        <v>2</v>
      </c>
      <c r="C9" s="3155" t="s">
        <v>704</v>
      </c>
      <c r="D9" s="3155"/>
      <c r="E9" s="3155"/>
      <c r="F9" s="3155"/>
      <c r="G9" s="3155"/>
      <c r="H9" s="3155"/>
      <c r="I9" s="1063"/>
      <c r="J9" s="3156">
        <f>IF(OR(M9=TRUE,M10=TRUE),2.5,0)</f>
        <v>0</v>
      </c>
      <c r="L9" s="685"/>
      <c r="M9" s="685" t="b">
        <v>0</v>
      </c>
      <c r="N9" s="685"/>
      <c r="O9" s="685"/>
      <c r="P9" s="685"/>
      <c r="Q9" s="685"/>
      <c r="R9" s="685"/>
    </row>
    <row r="10" spans="2:18" s="682" customFormat="1" ht="28.5" customHeight="1" x14ac:dyDescent="0.2">
      <c r="B10" s="3154"/>
      <c r="C10" s="3158" t="s">
        <v>705</v>
      </c>
      <c r="D10" s="3158"/>
      <c r="E10" s="3158"/>
      <c r="F10" s="3158"/>
      <c r="G10" s="3158"/>
      <c r="H10" s="3158"/>
      <c r="I10" s="1064"/>
      <c r="J10" s="3157"/>
      <c r="L10" s="685"/>
      <c r="M10" s="685" t="b">
        <v>0</v>
      </c>
      <c r="N10" s="685"/>
      <c r="O10" s="685"/>
      <c r="P10" s="685"/>
      <c r="Q10" s="685"/>
      <c r="R10" s="685"/>
    </row>
    <row r="11" spans="2:18" s="682" customFormat="1" ht="21.75" customHeight="1" x14ac:dyDescent="0.2">
      <c r="B11" s="3123" t="s">
        <v>404</v>
      </c>
      <c r="C11" s="3124"/>
      <c r="D11" s="3124"/>
      <c r="E11" s="3124"/>
      <c r="F11" s="3124"/>
      <c r="G11" s="3124"/>
      <c r="H11" s="3124"/>
      <c r="I11" s="3125"/>
      <c r="J11" s="709">
        <f>SUM(J8:J9)</f>
        <v>0</v>
      </c>
      <c r="L11" s="685"/>
      <c r="M11" s="685"/>
      <c r="N11" s="685"/>
      <c r="O11" s="685"/>
      <c r="P11" s="685"/>
      <c r="Q11" s="685"/>
      <c r="R11" s="685"/>
    </row>
    <row r="12" spans="2:18" s="682" customFormat="1" ht="18.75" customHeight="1" x14ac:dyDescent="0.2">
      <c r="F12" s="684"/>
      <c r="G12" s="684"/>
      <c r="H12" s="684"/>
      <c r="I12" s="684"/>
      <c r="L12" s="685"/>
      <c r="M12" s="685"/>
      <c r="N12" s="685"/>
      <c r="O12" s="685"/>
      <c r="P12" s="685"/>
      <c r="Q12" s="685"/>
      <c r="R12" s="685"/>
    </row>
    <row r="13" spans="2:18" s="682" customFormat="1" ht="18" x14ac:dyDescent="0.25">
      <c r="B13" s="3115" t="s">
        <v>706</v>
      </c>
      <c r="C13" s="3116"/>
      <c r="D13" s="3116"/>
      <c r="E13" s="3116"/>
      <c r="F13" s="3116"/>
      <c r="G13" s="3116"/>
      <c r="H13" s="3116"/>
      <c r="I13" s="3116"/>
      <c r="J13" s="3117"/>
      <c r="L13" s="685"/>
      <c r="M13" s="1186">
        <v>242431</v>
      </c>
      <c r="N13" s="1186">
        <v>242796</v>
      </c>
      <c r="O13" s="685"/>
      <c r="P13" s="685"/>
      <c r="Q13" s="685"/>
      <c r="R13" s="685"/>
    </row>
    <row r="14" spans="2:18" s="682" customFormat="1" ht="21" customHeight="1" x14ac:dyDescent="0.25">
      <c r="B14" s="1065" t="s">
        <v>707</v>
      </c>
      <c r="C14" s="1066"/>
      <c r="D14" s="1066"/>
      <c r="E14" s="712"/>
      <c r="F14" s="714"/>
      <c r="G14" s="714"/>
      <c r="H14" s="714"/>
      <c r="I14" s="714"/>
      <c r="J14" s="1067"/>
      <c r="L14" s="685"/>
      <c r="M14" s="685">
        <f>G22+G43+G54+G70+G81+G92+G103+G114+G131+G157+G169+G180+G197+G208+G219+G230+G241+G258+G269+G287+G302+G321+G336+G344+G355+G366+G377+G390+G397+G407+G418+G429+G440+G462+G451</f>
        <v>0</v>
      </c>
      <c r="N14" s="685"/>
      <c r="O14" s="685"/>
      <c r="P14" s="685"/>
      <c r="Q14" s="685"/>
      <c r="R14" s="685"/>
    </row>
    <row r="15" spans="2:18" s="736" customFormat="1" ht="14.25" customHeight="1" x14ac:dyDescent="0.2">
      <c r="B15" s="809"/>
      <c r="C15" s="3030" t="s">
        <v>664</v>
      </c>
      <c r="D15" s="3031"/>
      <c r="E15" s="3032"/>
      <c r="F15" s="1109" t="s">
        <v>805</v>
      </c>
      <c r="G15" s="1109" t="s">
        <v>806</v>
      </c>
      <c r="H15" s="1068" t="s">
        <v>442</v>
      </c>
      <c r="I15" s="1069" t="s">
        <v>443</v>
      </c>
      <c r="J15" s="1070" t="s">
        <v>443</v>
      </c>
      <c r="L15" s="734"/>
      <c r="M15" s="734"/>
      <c r="N15" s="734"/>
      <c r="O15" s="734"/>
      <c r="P15" s="734"/>
      <c r="Q15" s="734"/>
      <c r="R15" s="734"/>
    </row>
    <row r="16" spans="2:18" s="747" customFormat="1" x14ac:dyDescent="0.2">
      <c r="B16" s="737"/>
      <c r="C16" s="1176"/>
      <c r="D16" s="1177"/>
      <c r="E16" s="1177"/>
      <c r="F16" s="1072" t="s">
        <v>1018</v>
      </c>
      <c r="G16" s="1072" t="s">
        <v>1018</v>
      </c>
      <c r="H16" s="858" t="s">
        <v>448</v>
      </c>
      <c r="I16" s="858" t="s">
        <v>445</v>
      </c>
      <c r="J16" s="859" t="s">
        <v>315</v>
      </c>
      <c r="L16" s="745"/>
      <c r="M16" s="745"/>
      <c r="N16" s="745"/>
      <c r="O16" s="745"/>
      <c r="P16" s="745"/>
      <c r="Q16" s="745"/>
      <c r="R16" s="745"/>
    </row>
    <row r="17" spans="2:18" s="755" customFormat="1" x14ac:dyDescent="0.2">
      <c r="B17" s="958" t="s">
        <v>641</v>
      </c>
      <c r="C17" s="3008"/>
      <c r="D17" s="3056"/>
      <c r="E17" s="3009"/>
      <c r="F17" s="1510"/>
      <c r="G17" s="1510"/>
      <c r="H17" s="1073">
        <v>120</v>
      </c>
      <c r="I17" s="960">
        <f>IF(AND(C17&lt;&gt;"",F17&lt;&gt;""),H17,0)</f>
        <v>0</v>
      </c>
      <c r="J17" s="928">
        <f>I17/15</f>
        <v>0</v>
      </c>
      <c r="L17" s="754"/>
      <c r="M17" s="754">
        <f>IF(F17&lt;&gt;"",IF(F17&lt;$M$13,0,1),0)</f>
        <v>0</v>
      </c>
      <c r="N17" s="754">
        <f>IF(G17&lt;&gt;"",IF(G17&gt;$N$13,1,IF(G17&gt;=$M$13,1,0)),0)</f>
        <v>0</v>
      </c>
      <c r="O17" s="754">
        <f>IF(OR(M17=1,N17=1),1,0)</f>
        <v>0</v>
      </c>
      <c r="P17" s="754"/>
      <c r="Q17" s="754"/>
      <c r="R17" s="754"/>
    </row>
    <row r="18" spans="2:18" s="755" customFormat="1" x14ac:dyDescent="0.2">
      <c r="B18" s="958" t="s">
        <v>642</v>
      </c>
      <c r="C18" s="3008"/>
      <c r="D18" s="3056"/>
      <c r="E18" s="3009"/>
      <c r="F18" s="1510"/>
      <c r="G18" s="1510"/>
      <c r="H18" s="1073">
        <v>120</v>
      </c>
      <c r="I18" s="960">
        <f t="shared" ref="I18:I21" si="0">IF(AND(C18&lt;&gt;"",F18&lt;&gt;""),H18,0)</f>
        <v>0</v>
      </c>
      <c r="J18" s="928">
        <f>I18/15</f>
        <v>0</v>
      </c>
      <c r="L18" s="754"/>
      <c r="M18" s="754">
        <f t="shared" ref="M18:M21" si="1">IF(F18&lt;&gt;"",IF(F18&lt;$M$13,0,1),0)</f>
        <v>0</v>
      </c>
      <c r="N18" s="754">
        <f t="shared" ref="N18:N21" si="2">IF(G18&lt;&gt;"",IF(G18&gt;$N$13,1,IF(G18&gt;=$M$13,1,0)),0)</f>
        <v>0</v>
      </c>
      <c r="O18" s="754">
        <f t="shared" ref="O18:O21" si="3">IF(OR(M18=1,N18=1),1,0)</f>
        <v>0</v>
      </c>
      <c r="P18" s="754"/>
      <c r="Q18" s="754"/>
      <c r="R18" s="754"/>
    </row>
    <row r="19" spans="2:18" s="755" customFormat="1" x14ac:dyDescent="0.2">
      <c r="B19" s="958" t="s">
        <v>643</v>
      </c>
      <c r="C19" s="3008"/>
      <c r="D19" s="3056"/>
      <c r="E19" s="3009"/>
      <c r="F19" s="1510"/>
      <c r="G19" s="1510"/>
      <c r="H19" s="1073">
        <v>120</v>
      </c>
      <c r="I19" s="960">
        <f t="shared" si="0"/>
        <v>0</v>
      </c>
      <c r="J19" s="928">
        <f>I19/15</f>
        <v>0</v>
      </c>
      <c r="L19" s="754"/>
      <c r="M19" s="754">
        <f t="shared" si="1"/>
        <v>0</v>
      </c>
      <c r="N19" s="754">
        <f t="shared" si="2"/>
        <v>0</v>
      </c>
      <c r="O19" s="754">
        <f t="shared" si="3"/>
        <v>0</v>
      </c>
      <c r="P19" s="754"/>
      <c r="Q19" s="754"/>
      <c r="R19" s="754"/>
    </row>
    <row r="20" spans="2:18" s="755" customFormat="1" x14ac:dyDescent="0.2">
      <c r="B20" s="958" t="s">
        <v>644</v>
      </c>
      <c r="C20" s="3008"/>
      <c r="D20" s="3056"/>
      <c r="E20" s="3009"/>
      <c r="F20" s="1510"/>
      <c r="G20" s="1510"/>
      <c r="H20" s="1073">
        <v>120</v>
      </c>
      <c r="I20" s="960">
        <f t="shared" si="0"/>
        <v>0</v>
      </c>
      <c r="J20" s="928">
        <f>I20/15</f>
        <v>0</v>
      </c>
      <c r="L20" s="754"/>
      <c r="M20" s="754">
        <f t="shared" si="1"/>
        <v>0</v>
      </c>
      <c r="N20" s="754">
        <f t="shared" si="2"/>
        <v>0</v>
      </c>
      <c r="O20" s="754">
        <f t="shared" si="3"/>
        <v>0</v>
      </c>
      <c r="P20" s="754"/>
      <c r="Q20" s="754"/>
      <c r="R20" s="754"/>
    </row>
    <row r="21" spans="2:18" s="755" customFormat="1" x14ac:dyDescent="0.2">
      <c r="B21" s="958" t="s">
        <v>645</v>
      </c>
      <c r="C21" s="3008"/>
      <c r="D21" s="3056"/>
      <c r="E21" s="3009"/>
      <c r="F21" s="1510"/>
      <c r="G21" s="1510"/>
      <c r="H21" s="1073">
        <v>120</v>
      </c>
      <c r="I21" s="960">
        <f t="shared" si="0"/>
        <v>0</v>
      </c>
      <c r="J21" s="928">
        <f>I21/15</f>
        <v>0</v>
      </c>
      <c r="L21" s="754"/>
      <c r="M21" s="754">
        <f t="shared" si="1"/>
        <v>0</v>
      </c>
      <c r="N21" s="754">
        <f t="shared" si="2"/>
        <v>0</v>
      </c>
      <c r="O21" s="754">
        <f t="shared" si="3"/>
        <v>0</v>
      </c>
      <c r="P21" s="754"/>
      <c r="Q21" s="754"/>
      <c r="R21" s="754"/>
    </row>
    <row r="22" spans="2:18" s="755" customFormat="1" x14ac:dyDescent="0.2">
      <c r="B22" s="1074"/>
      <c r="C22" s="866"/>
      <c r="D22" s="866"/>
      <c r="E22" s="1075"/>
      <c r="F22" s="1076"/>
      <c r="G22" s="1077">
        <f>SUM(O17:O21)</f>
        <v>0</v>
      </c>
      <c r="H22" s="867" t="s">
        <v>283</v>
      </c>
      <c r="I22" s="820">
        <f>SUM(I17:I21)</f>
        <v>0</v>
      </c>
      <c r="J22" s="821">
        <f>SUM(J17:J21)</f>
        <v>0</v>
      </c>
      <c r="L22" s="754"/>
      <c r="M22" s="754">
        <f>SUM(O17:O21)</f>
        <v>0</v>
      </c>
      <c r="N22" s="754"/>
      <c r="O22" s="754"/>
      <c r="P22" s="754"/>
      <c r="Q22" s="754"/>
      <c r="R22" s="754"/>
    </row>
    <row r="23" spans="2:18" s="755" customFormat="1" x14ac:dyDescent="0.2">
      <c r="B23" s="1180"/>
      <c r="C23" s="1079"/>
      <c r="D23" s="1079"/>
      <c r="E23" s="1080"/>
      <c r="F23" s="1081"/>
      <c r="G23" s="1081"/>
      <c r="H23" s="1082"/>
      <c r="I23" s="1083"/>
      <c r="J23" s="1083"/>
      <c r="L23" s="754"/>
      <c r="M23" s="754"/>
      <c r="N23" s="754"/>
      <c r="O23" s="754"/>
      <c r="P23" s="754"/>
      <c r="Q23" s="754"/>
      <c r="R23" s="754"/>
    </row>
    <row r="24" spans="2:18" s="755" customFormat="1" ht="15" x14ac:dyDescent="0.25">
      <c r="B24" s="1380"/>
      <c r="C24" s="1085"/>
      <c r="D24" s="1085"/>
      <c r="E24" s="1086"/>
      <c r="F24" s="1087"/>
      <c r="G24" s="1087"/>
      <c r="H24" s="1088"/>
      <c r="I24" s="1089"/>
      <c r="J24" s="1089"/>
      <c r="L24" s="754"/>
      <c r="M24" s="754"/>
      <c r="N24" s="754"/>
      <c r="O24" s="754"/>
      <c r="P24" s="754"/>
      <c r="Q24" s="754"/>
      <c r="R24" s="754"/>
    </row>
    <row r="25" spans="2:18" s="682" customFormat="1" ht="21" customHeight="1" x14ac:dyDescent="0.25">
      <c r="B25" s="1065" t="s">
        <v>708</v>
      </c>
      <c r="C25" s="1066"/>
      <c r="D25" s="1066"/>
      <c r="E25" s="712"/>
      <c r="F25" s="714"/>
      <c r="G25" s="714"/>
      <c r="H25" s="714"/>
      <c r="I25" s="714"/>
      <c r="J25" s="1067"/>
      <c r="L25" s="685"/>
      <c r="M25" s="685"/>
      <c r="N25" s="685"/>
      <c r="O25" s="685"/>
      <c r="P25" s="685"/>
      <c r="Q25" s="685"/>
      <c r="R25" s="685"/>
    </row>
    <row r="26" spans="2:18" s="736" customFormat="1" x14ac:dyDescent="0.2">
      <c r="B26" s="809"/>
      <c r="C26" s="1053" t="s">
        <v>709</v>
      </c>
      <c r="D26" s="1003" t="s">
        <v>710</v>
      </c>
      <c r="E26" s="810" t="s">
        <v>563</v>
      </c>
      <c r="F26" s="1109" t="s">
        <v>807</v>
      </c>
      <c r="G26" s="1109" t="s">
        <v>806</v>
      </c>
      <c r="H26" s="1068" t="s">
        <v>442</v>
      </c>
      <c r="I26" s="1069" t="s">
        <v>443</v>
      </c>
      <c r="J26" s="1070" t="s">
        <v>443</v>
      </c>
      <c r="L26" s="734"/>
      <c r="M26" s="734"/>
      <c r="N26" s="734"/>
      <c r="O26" s="734"/>
      <c r="P26" s="734"/>
      <c r="Q26" s="734"/>
      <c r="R26" s="734"/>
    </row>
    <row r="27" spans="2:18" s="747" customFormat="1" x14ac:dyDescent="0.2">
      <c r="B27" s="737"/>
      <c r="C27" s="738"/>
      <c r="D27" s="739"/>
      <c r="E27" s="739" t="s">
        <v>941</v>
      </c>
      <c r="F27" s="1072" t="s">
        <v>1018</v>
      </c>
      <c r="G27" s="1072" t="s">
        <v>1018</v>
      </c>
      <c r="H27" s="858" t="s">
        <v>448</v>
      </c>
      <c r="I27" s="858" t="s">
        <v>445</v>
      </c>
      <c r="J27" s="859" t="s">
        <v>315</v>
      </c>
      <c r="L27" s="745"/>
      <c r="M27" s="745"/>
      <c r="N27" s="745"/>
      <c r="O27" s="745"/>
      <c r="P27" s="745"/>
      <c r="Q27" s="745"/>
      <c r="R27" s="745"/>
    </row>
    <row r="28" spans="2:18" s="755" customFormat="1" x14ac:dyDescent="0.2">
      <c r="B28" s="958" t="s">
        <v>942</v>
      </c>
      <c r="C28" s="1052"/>
      <c r="D28" s="1090"/>
      <c r="E28" s="1090"/>
      <c r="F28" s="1510"/>
      <c r="G28" s="1510"/>
      <c r="H28" s="1073">
        <v>3</v>
      </c>
      <c r="I28" s="960">
        <f>IF(C28&lt;&gt;"",D28*E28*H28,0)</f>
        <v>0</v>
      </c>
      <c r="J28" s="928">
        <f t="shared" ref="J28:J42" si="4">I28/15</f>
        <v>0</v>
      </c>
      <c r="L28" s="754"/>
      <c r="M28" s="754">
        <f>IF(F28&lt;&gt;"",IF(F28&lt;$M$13,0,1),0)</f>
        <v>0</v>
      </c>
      <c r="N28" s="754">
        <f>IF(G28&lt;&gt;"",IF(G28&gt;$N$13,1,IF(G28&gt;=$M$13,1,0)),0)</f>
        <v>0</v>
      </c>
      <c r="O28" s="754">
        <f>IF(OR(M28=1,N28=1),1,0)</f>
        <v>0</v>
      </c>
      <c r="P28" s="754"/>
      <c r="Q28" s="754"/>
      <c r="R28" s="754"/>
    </row>
    <row r="29" spans="2:18" s="755" customFormat="1" x14ac:dyDescent="0.2">
      <c r="B29" s="958" t="s">
        <v>943</v>
      </c>
      <c r="C29" s="1052"/>
      <c r="D29" s="1090"/>
      <c r="E29" s="1090"/>
      <c r="F29" s="1510"/>
      <c r="G29" s="1510"/>
      <c r="H29" s="1073">
        <v>3</v>
      </c>
      <c r="I29" s="960">
        <f t="shared" ref="I29:I42" si="5">IF(C29&lt;&gt;"",D29*E29*H29,0)</f>
        <v>0</v>
      </c>
      <c r="J29" s="928">
        <f t="shared" si="4"/>
        <v>0</v>
      </c>
      <c r="L29" s="754"/>
      <c r="M29" s="754">
        <f t="shared" ref="M29:M32" si="6">IF(F29&lt;&gt;"",IF(F29&lt;$M$13,0,1),0)</f>
        <v>0</v>
      </c>
      <c r="N29" s="754">
        <f t="shared" ref="N29:N32" si="7">IF(G29&lt;&gt;"",IF(G29&gt;$N$13,1,IF(G29&gt;=$M$13,1,0)),0)</f>
        <v>0</v>
      </c>
      <c r="O29" s="754">
        <f t="shared" ref="O29:O32" si="8">IF(OR(M29=1,N29=1),1,0)</f>
        <v>0</v>
      </c>
      <c r="P29" s="754"/>
      <c r="Q29" s="754"/>
      <c r="R29" s="754"/>
    </row>
    <row r="30" spans="2:18" s="755" customFormat="1" x14ac:dyDescent="0.2">
      <c r="B30" s="958" t="s">
        <v>944</v>
      </c>
      <c r="C30" s="1052"/>
      <c r="D30" s="1090"/>
      <c r="E30" s="1090"/>
      <c r="F30" s="1510"/>
      <c r="G30" s="1510"/>
      <c r="H30" s="1073">
        <v>3</v>
      </c>
      <c r="I30" s="960">
        <f t="shared" si="5"/>
        <v>0</v>
      </c>
      <c r="J30" s="928">
        <f t="shared" si="4"/>
        <v>0</v>
      </c>
      <c r="L30" s="754"/>
      <c r="M30" s="754">
        <f t="shared" si="6"/>
        <v>0</v>
      </c>
      <c r="N30" s="754">
        <f t="shared" si="7"/>
        <v>0</v>
      </c>
      <c r="O30" s="754">
        <f t="shared" si="8"/>
        <v>0</v>
      </c>
      <c r="P30" s="754"/>
      <c r="Q30" s="754"/>
      <c r="R30" s="754"/>
    </row>
    <row r="31" spans="2:18" s="755" customFormat="1" x14ac:dyDescent="0.2">
      <c r="B31" s="958" t="s">
        <v>945</v>
      </c>
      <c r="C31" s="1052"/>
      <c r="D31" s="1090"/>
      <c r="E31" s="1090"/>
      <c r="F31" s="1510"/>
      <c r="G31" s="1510"/>
      <c r="H31" s="1073">
        <v>3</v>
      </c>
      <c r="I31" s="960">
        <f t="shared" si="5"/>
        <v>0</v>
      </c>
      <c r="J31" s="928">
        <f t="shared" si="4"/>
        <v>0</v>
      </c>
      <c r="L31" s="754"/>
      <c r="M31" s="754">
        <f t="shared" si="6"/>
        <v>0</v>
      </c>
      <c r="N31" s="754">
        <f t="shared" si="7"/>
        <v>0</v>
      </c>
      <c r="O31" s="754">
        <f t="shared" si="8"/>
        <v>0</v>
      </c>
      <c r="P31" s="754"/>
      <c r="Q31" s="754"/>
      <c r="R31" s="754"/>
    </row>
    <row r="32" spans="2:18" s="755" customFormat="1" x14ac:dyDescent="0.2">
      <c r="B32" s="958" t="s">
        <v>946</v>
      </c>
      <c r="C32" s="1052"/>
      <c r="D32" s="1090"/>
      <c r="E32" s="1090"/>
      <c r="F32" s="1510"/>
      <c r="G32" s="1510"/>
      <c r="H32" s="1073">
        <v>3</v>
      </c>
      <c r="I32" s="960">
        <f t="shared" si="5"/>
        <v>0</v>
      </c>
      <c r="J32" s="928">
        <f t="shared" si="4"/>
        <v>0</v>
      </c>
      <c r="L32" s="754"/>
      <c r="M32" s="754">
        <f t="shared" si="6"/>
        <v>0</v>
      </c>
      <c r="N32" s="754">
        <f t="shared" si="7"/>
        <v>0</v>
      </c>
      <c r="O32" s="754">
        <f t="shared" si="8"/>
        <v>0</v>
      </c>
      <c r="P32" s="754"/>
      <c r="Q32" s="754"/>
      <c r="R32" s="754"/>
    </row>
    <row r="33" spans="2:18" s="755" customFormat="1" x14ac:dyDescent="0.2">
      <c r="B33" s="958" t="s">
        <v>991</v>
      </c>
      <c r="C33" s="1413"/>
      <c r="D33" s="1090"/>
      <c r="E33" s="1090"/>
      <c r="F33" s="1510"/>
      <c r="G33" s="1510"/>
      <c r="H33" s="1073">
        <v>3</v>
      </c>
      <c r="I33" s="960">
        <f t="shared" si="5"/>
        <v>0</v>
      </c>
      <c r="J33" s="928">
        <f t="shared" si="4"/>
        <v>0</v>
      </c>
      <c r="L33" s="754"/>
      <c r="M33" s="754">
        <f>IF(F33&lt;&gt;"",IF(F33&lt;$M$13,0,1),0)</f>
        <v>0</v>
      </c>
      <c r="N33" s="754">
        <f>IF(G33&lt;&gt;"",IF(G33&gt;$N$13,1,IF(G33&gt;=$M$13,1,0)),0)</f>
        <v>0</v>
      </c>
      <c r="O33" s="754">
        <f>IF(OR(M33=1,N33=1),1,0)</f>
        <v>0</v>
      </c>
      <c r="P33" s="754"/>
      <c r="Q33" s="754"/>
      <c r="R33" s="754"/>
    </row>
    <row r="34" spans="2:18" s="755" customFormat="1" x14ac:dyDescent="0.2">
      <c r="B34" s="958" t="s">
        <v>992</v>
      </c>
      <c r="C34" s="1413"/>
      <c r="D34" s="1090"/>
      <c r="E34" s="1090"/>
      <c r="F34" s="1510"/>
      <c r="G34" s="1510"/>
      <c r="H34" s="1073">
        <v>3</v>
      </c>
      <c r="I34" s="960">
        <f t="shared" si="5"/>
        <v>0</v>
      </c>
      <c r="J34" s="928">
        <f t="shared" si="4"/>
        <v>0</v>
      </c>
      <c r="L34" s="754"/>
      <c r="M34" s="754">
        <f t="shared" ref="M34:M37" si="9">IF(F34&lt;&gt;"",IF(F34&lt;$M$13,0,1),0)</f>
        <v>0</v>
      </c>
      <c r="N34" s="754">
        <f t="shared" ref="N34:N37" si="10">IF(G34&lt;&gt;"",IF(G34&gt;$N$13,1,IF(G34&gt;=$M$13,1,0)),0)</f>
        <v>0</v>
      </c>
      <c r="O34" s="754">
        <f t="shared" ref="O34:O37" si="11">IF(OR(M34=1,N34=1),1,0)</f>
        <v>0</v>
      </c>
      <c r="P34" s="754"/>
      <c r="Q34" s="754"/>
      <c r="R34" s="754"/>
    </row>
    <row r="35" spans="2:18" s="755" customFormat="1" x14ac:dyDescent="0.2">
      <c r="B35" s="958" t="s">
        <v>993</v>
      </c>
      <c r="C35" s="1413"/>
      <c r="D35" s="1090"/>
      <c r="E35" s="1090"/>
      <c r="F35" s="1510"/>
      <c r="G35" s="1510"/>
      <c r="H35" s="1073">
        <v>3</v>
      </c>
      <c r="I35" s="960">
        <f t="shared" si="5"/>
        <v>0</v>
      </c>
      <c r="J35" s="928">
        <f t="shared" si="4"/>
        <v>0</v>
      </c>
      <c r="L35" s="754"/>
      <c r="M35" s="754">
        <f t="shared" si="9"/>
        <v>0</v>
      </c>
      <c r="N35" s="754">
        <f t="shared" si="10"/>
        <v>0</v>
      </c>
      <c r="O35" s="754">
        <f t="shared" si="11"/>
        <v>0</v>
      </c>
      <c r="P35" s="754"/>
      <c r="Q35" s="754"/>
      <c r="R35" s="754"/>
    </row>
    <row r="36" spans="2:18" s="755" customFormat="1" x14ac:dyDescent="0.2">
      <c r="B36" s="958" t="s">
        <v>994</v>
      </c>
      <c r="C36" s="1413"/>
      <c r="D36" s="1090"/>
      <c r="E36" s="1090"/>
      <c r="F36" s="1510"/>
      <c r="G36" s="1510"/>
      <c r="H36" s="1073">
        <v>3</v>
      </c>
      <c r="I36" s="960">
        <f t="shared" si="5"/>
        <v>0</v>
      </c>
      <c r="J36" s="928">
        <f t="shared" si="4"/>
        <v>0</v>
      </c>
      <c r="L36" s="754"/>
      <c r="M36" s="754">
        <f t="shared" si="9"/>
        <v>0</v>
      </c>
      <c r="N36" s="754">
        <f t="shared" si="10"/>
        <v>0</v>
      </c>
      <c r="O36" s="754">
        <f t="shared" si="11"/>
        <v>0</v>
      </c>
      <c r="P36" s="754"/>
      <c r="Q36" s="754"/>
      <c r="R36" s="754"/>
    </row>
    <row r="37" spans="2:18" s="755" customFormat="1" x14ac:dyDescent="0.2">
      <c r="B37" s="958" t="s">
        <v>995</v>
      </c>
      <c r="C37" s="1413"/>
      <c r="D37" s="1090"/>
      <c r="E37" s="1090"/>
      <c r="F37" s="1510"/>
      <c r="G37" s="1510"/>
      <c r="H37" s="1073">
        <v>3</v>
      </c>
      <c r="I37" s="960">
        <f t="shared" si="5"/>
        <v>0</v>
      </c>
      <c r="J37" s="928">
        <f t="shared" si="4"/>
        <v>0</v>
      </c>
      <c r="L37" s="754"/>
      <c r="M37" s="754">
        <f t="shared" si="9"/>
        <v>0</v>
      </c>
      <c r="N37" s="754">
        <f t="shared" si="10"/>
        <v>0</v>
      </c>
      <c r="O37" s="754">
        <f t="shared" si="11"/>
        <v>0</v>
      </c>
      <c r="P37" s="754"/>
      <c r="Q37" s="754"/>
      <c r="R37" s="754"/>
    </row>
    <row r="38" spans="2:18" s="755" customFormat="1" x14ac:dyDescent="0.2">
      <c r="B38" s="958" t="s">
        <v>996</v>
      </c>
      <c r="C38" s="1413"/>
      <c r="D38" s="1090"/>
      <c r="E38" s="1090"/>
      <c r="F38" s="1510"/>
      <c r="G38" s="1510"/>
      <c r="H38" s="1073">
        <v>3</v>
      </c>
      <c r="I38" s="960">
        <f t="shared" si="5"/>
        <v>0</v>
      </c>
      <c r="J38" s="928">
        <f t="shared" si="4"/>
        <v>0</v>
      </c>
      <c r="L38" s="754"/>
      <c r="M38" s="754">
        <f>IF(F38&lt;&gt;"",IF(F38&lt;$M$13,0,1),0)</f>
        <v>0</v>
      </c>
      <c r="N38" s="754">
        <f>IF(G38&lt;&gt;"",IF(G38&gt;$N$13,1,IF(G38&gt;=$M$13,1,0)),0)</f>
        <v>0</v>
      </c>
      <c r="O38" s="754">
        <f>IF(OR(M38=1,N38=1),1,0)</f>
        <v>0</v>
      </c>
      <c r="P38" s="754"/>
      <c r="Q38" s="754"/>
      <c r="R38" s="754"/>
    </row>
    <row r="39" spans="2:18" s="755" customFormat="1" x14ac:dyDescent="0.2">
      <c r="B39" s="958" t="s">
        <v>997</v>
      </c>
      <c r="C39" s="1413"/>
      <c r="D39" s="1090"/>
      <c r="E39" s="1090"/>
      <c r="F39" s="1510"/>
      <c r="G39" s="1510"/>
      <c r="H39" s="1073">
        <v>3</v>
      </c>
      <c r="I39" s="960">
        <f t="shared" si="5"/>
        <v>0</v>
      </c>
      <c r="J39" s="928">
        <f t="shared" si="4"/>
        <v>0</v>
      </c>
      <c r="L39" s="754"/>
      <c r="M39" s="754">
        <f t="shared" ref="M39:M42" si="12">IF(F39&lt;&gt;"",IF(F39&lt;$M$13,0,1),0)</f>
        <v>0</v>
      </c>
      <c r="N39" s="754">
        <f t="shared" ref="N39:N42" si="13">IF(G39&lt;&gt;"",IF(G39&gt;$N$13,1,IF(G39&gt;=$M$13,1,0)),0)</f>
        <v>0</v>
      </c>
      <c r="O39" s="754">
        <f t="shared" ref="O39:O42" si="14">IF(OR(M39=1,N39=1),1,0)</f>
        <v>0</v>
      </c>
      <c r="P39" s="754"/>
      <c r="Q39" s="754"/>
      <c r="R39" s="754"/>
    </row>
    <row r="40" spans="2:18" s="755" customFormat="1" x14ac:dyDescent="0.2">
      <c r="B40" s="958" t="s">
        <v>998</v>
      </c>
      <c r="C40" s="1413"/>
      <c r="D40" s="1090"/>
      <c r="E40" s="1090"/>
      <c r="F40" s="1510"/>
      <c r="G40" s="1510"/>
      <c r="H40" s="1073">
        <v>3</v>
      </c>
      <c r="I40" s="960">
        <f t="shared" si="5"/>
        <v>0</v>
      </c>
      <c r="J40" s="928">
        <f t="shared" si="4"/>
        <v>0</v>
      </c>
      <c r="L40" s="754"/>
      <c r="M40" s="754">
        <f t="shared" si="12"/>
        <v>0</v>
      </c>
      <c r="N40" s="754">
        <f t="shared" si="13"/>
        <v>0</v>
      </c>
      <c r="O40" s="754">
        <f t="shared" si="14"/>
        <v>0</v>
      </c>
      <c r="P40" s="754"/>
      <c r="Q40" s="754"/>
      <c r="R40" s="754"/>
    </row>
    <row r="41" spans="2:18" s="755" customFormat="1" x14ac:dyDescent="0.2">
      <c r="B41" s="958" t="s">
        <v>999</v>
      </c>
      <c r="C41" s="1413"/>
      <c r="D41" s="1090"/>
      <c r="E41" s="1090"/>
      <c r="F41" s="1510"/>
      <c r="G41" s="1510"/>
      <c r="H41" s="1073">
        <v>3</v>
      </c>
      <c r="I41" s="960">
        <f t="shared" si="5"/>
        <v>0</v>
      </c>
      <c r="J41" s="928">
        <f t="shared" si="4"/>
        <v>0</v>
      </c>
      <c r="L41" s="754"/>
      <c r="M41" s="754">
        <f t="shared" si="12"/>
        <v>0</v>
      </c>
      <c r="N41" s="754">
        <f t="shared" si="13"/>
        <v>0</v>
      </c>
      <c r="O41" s="754">
        <f t="shared" si="14"/>
        <v>0</v>
      </c>
      <c r="P41" s="754"/>
      <c r="Q41" s="754"/>
      <c r="R41" s="754"/>
    </row>
    <row r="42" spans="2:18" s="755" customFormat="1" x14ac:dyDescent="0.2">
      <c r="B42" s="958" t="s">
        <v>1000</v>
      </c>
      <c r="C42" s="1413"/>
      <c r="D42" s="1090"/>
      <c r="E42" s="1090"/>
      <c r="F42" s="1510"/>
      <c r="G42" s="1510"/>
      <c r="H42" s="1073">
        <v>3</v>
      </c>
      <c r="I42" s="960">
        <f t="shared" si="5"/>
        <v>0</v>
      </c>
      <c r="J42" s="928">
        <f t="shared" si="4"/>
        <v>0</v>
      </c>
      <c r="L42" s="754"/>
      <c r="M42" s="754">
        <f t="shared" si="12"/>
        <v>0</v>
      </c>
      <c r="N42" s="754">
        <f t="shared" si="13"/>
        <v>0</v>
      </c>
      <c r="O42" s="754">
        <f t="shared" si="14"/>
        <v>0</v>
      </c>
      <c r="P42" s="754"/>
      <c r="Q42" s="754"/>
      <c r="R42" s="754"/>
    </row>
    <row r="43" spans="2:18" s="755" customFormat="1" x14ac:dyDescent="0.2">
      <c r="B43" s="1074"/>
      <c r="C43" s="866"/>
      <c r="D43" s="866"/>
      <c r="E43" s="1075"/>
      <c r="F43" s="1076"/>
      <c r="G43" s="1077">
        <f>SUM(O28:O42)</f>
        <v>0</v>
      </c>
      <c r="H43" s="867" t="s">
        <v>283</v>
      </c>
      <c r="I43" s="820">
        <f>SUM(I28:I42)</f>
        <v>0</v>
      </c>
      <c r="J43" s="821">
        <f>SUM(J28:J42)</f>
        <v>0</v>
      </c>
      <c r="L43" s="754"/>
      <c r="M43" s="754"/>
      <c r="N43" s="754"/>
      <c r="O43" s="754"/>
      <c r="P43" s="754"/>
      <c r="Q43" s="754"/>
      <c r="R43" s="754"/>
    </row>
    <row r="44" spans="2:18" s="755" customFormat="1" x14ac:dyDescent="0.2">
      <c r="B44" s="1078"/>
      <c r="C44" s="1079"/>
      <c r="D44" s="1079"/>
      <c r="E44" s="1080"/>
      <c r="F44" s="1081"/>
      <c r="G44" s="1081"/>
      <c r="H44" s="1082"/>
      <c r="I44" s="1083"/>
      <c r="J44" s="1083"/>
      <c r="L44" s="754"/>
      <c r="M44" s="754"/>
      <c r="N44" s="754"/>
      <c r="O44" s="754"/>
      <c r="P44" s="754"/>
      <c r="Q44" s="754"/>
      <c r="R44" s="754"/>
    </row>
    <row r="45" spans="2:18" s="755" customFormat="1" x14ac:dyDescent="0.2">
      <c r="B45" s="1084"/>
      <c r="C45" s="1085"/>
      <c r="D45" s="1085"/>
      <c r="E45" s="1086"/>
      <c r="F45" s="1087"/>
      <c r="G45" s="1087"/>
      <c r="H45" s="1088"/>
      <c r="I45" s="1089"/>
      <c r="J45" s="1089"/>
      <c r="L45" s="754"/>
      <c r="M45" s="754"/>
      <c r="N45" s="754"/>
      <c r="O45" s="754"/>
      <c r="P45" s="754"/>
      <c r="Q45" s="754"/>
      <c r="R45" s="754"/>
    </row>
    <row r="46" spans="2:18" s="682" customFormat="1" ht="21" customHeight="1" x14ac:dyDescent="0.25">
      <c r="B46" s="710" t="s">
        <v>716</v>
      </c>
      <c r="C46" s="1066"/>
      <c r="D46" s="1066"/>
      <c r="E46" s="712"/>
      <c r="F46" s="714"/>
      <c r="G46" s="714"/>
      <c r="H46" s="714"/>
      <c r="I46" s="714"/>
      <c r="J46" s="1067"/>
      <c r="L46" s="685"/>
      <c r="M46" s="754"/>
      <c r="N46" s="685"/>
      <c r="O46" s="685"/>
      <c r="P46" s="685"/>
      <c r="Q46" s="685"/>
      <c r="R46" s="685"/>
    </row>
    <row r="47" spans="2:18" s="736" customFormat="1" x14ac:dyDescent="0.2">
      <c r="B47" s="809"/>
      <c r="C47" s="1053" t="s">
        <v>709</v>
      </c>
      <c r="D47" s="1003" t="s">
        <v>710</v>
      </c>
      <c r="E47" s="810" t="s">
        <v>563</v>
      </c>
      <c r="F47" s="1109" t="s">
        <v>807</v>
      </c>
      <c r="G47" s="1109" t="s">
        <v>806</v>
      </c>
      <c r="H47" s="1068" t="s">
        <v>442</v>
      </c>
      <c r="I47" s="1069" t="s">
        <v>443</v>
      </c>
      <c r="J47" s="1070" t="s">
        <v>443</v>
      </c>
      <c r="L47" s="734"/>
      <c r="M47" s="754"/>
      <c r="N47" s="734"/>
      <c r="O47" s="734"/>
      <c r="P47" s="734"/>
      <c r="Q47" s="734"/>
      <c r="R47" s="734"/>
    </row>
    <row r="48" spans="2:18" s="747" customFormat="1" x14ac:dyDescent="0.2">
      <c r="B48" s="737"/>
      <c r="C48" s="1091"/>
      <c r="D48" s="739"/>
      <c r="E48" s="739" t="s">
        <v>941</v>
      </c>
      <c r="F48" s="1072" t="s">
        <v>1018</v>
      </c>
      <c r="G48" s="1072" t="s">
        <v>1018</v>
      </c>
      <c r="H48" s="858" t="s">
        <v>448</v>
      </c>
      <c r="I48" s="858" t="s">
        <v>445</v>
      </c>
      <c r="J48" s="859" t="s">
        <v>315</v>
      </c>
      <c r="L48" s="745"/>
      <c r="M48" s="754"/>
      <c r="N48" s="745"/>
      <c r="O48" s="745"/>
      <c r="P48" s="745"/>
      <c r="Q48" s="745"/>
      <c r="R48" s="745"/>
    </row>
    <row r="49" spans="2:18" s="755" customFormat="1" x14ac:dyDescent="0.2">
      <c r="B49" s="958" t="s">
        <v>711</v>
      </c>
      <c r="C49" s="1052"/>
      <c r="D49" s="1090"/>
      <c r="E49" s="1090"/>
      <c r="F49" s="1510"/>
      <c r="G49" s="1510"/>
      <c r="H49" s="1073">
        <v>1</v>
      </c>
      <c r="I49" s="960">
        <f>IF(C49&lt;&gt;"",D49*H49*E49,0)</f>
        <v>0</v>
      </c>
      <c r="J49" s="928">
        <f>I49/15</f>
        <v>0</v>
      </c>
      <c r="L49" s="754"/>
      <c r="M49" s="754">
        <f>IF(F49&lt;&gt;"",IF(F49&lt;$M$13,0,1),0)</f>
        <v>0</v>
      </c>
      <c r="N49" s="754">
        <f>IF(G49&lt;&gt;"",IF(G49&gt;$N$13,1,IF(G49&gt;=$M$13,1,0)),0)</f>
        <v>0</v>
      </c>
      <c r="O49" s="754">
        <f>IF(OR(M49=1,N49=1),1,0)</f>
        <v>0</v>
      </c>
      <c r="P49" s="754"/>
      <c r="Q49" s="754"/>
      <c r="R49" s="754"/>
    </row>
    <row r="50" spans="2:18" s="755" customFormat="1" x14ac:dyDescent="0.2">
      <c r="B50" s="958" t="s">
        <v>712</v>
      </c>
      <c r="C50" s="1052"/>
      <c r="D50" s="1090"/>
      <c r="E50" s="1090"/>
      <c r="F50" s="1510"/>
      <c r="G50" s="1510"/>
      <c r="H50" s="1073">
        <v>1</v>
      </c>
      <c r="I50" s="960">
        <f t="shared" ref="I50:I53" si="15">IF(C50&lt;&gt;"",D50*H50*E50,0)</f>
        <v>0</v>
      </c>
      <c r="J50" s="928">
        <f>I50/15</f>
        <v>0</v>
      </c>
      <c r="L50" s="754"/>
      <c r="M50" s="754">
        <f t="shared" ref="M50:M53" si="16">IF(F50&lt;&gt;"",IF(F50&lt;$M$13,0,1),0)</f>
        <v>0</v>
      </c>
      <c r="N50" s="754">
        <f t="shared" ref="N50:N53" si="17">IF(G50&lt;&gt;"",IF(G50&gt;$N$13,1,IF(G50&gt;=$M$13,1,0)),0)</f>
        <v>0</v>
      </c>
      <c r="O50" s="754">
        <f t="shared" ref="O50:O53" si="18">IF(OR(M50=1,N50=1),1,0)</f>
        <v>0</v>
      </c>
      <c r="P50" s="754"/>
      <c r="Q50" s="754"/>
      <c r="R50" s="754"/>
    </row>
    <row r="51" spans="2:18" s="755" customFormat="1" x14ac:dyDescent="0.2">
      <c r="B51" s="958" t="s">
        <v>713</v>
      </c>
      <c r="C51" s="1052"/>
      <c r="D51" s="1090"/>
      <c r="E51" s="1090"/>
      <c r="F51" s="1510"/>
      <c r="G51" s="1510"/>
      <c r="H51" s="1073">
        <v>1</v>
      </c>
      <c r="I51" s="960">
        <f t="shared" si="15"/>
        <v>0</v>
      </c>
      <c r="J51" s="928">
        <f>I51/15</f>
        <v>0</v>
      </c>
      <c r="L51" s="754"/>
      <c r="M51" s="754">
        <f t="shared" si="16"/>
        <v>0</v>
      </c>
      <c r="N51" s="754">
        <f t="shared" si="17"/>
        <v>0</v>
      </c>
      <c r="O51" s="754">
        <f t="shared" si="18"/>
        <v>0</v>
      </c>
      <c r="P51" s="754"/>
      <c r="Q51" s="754"/>
      <c r="R51" s="754"/>
    </row>
    <row r="52" spans="2:18" s="755" customFormat="1" x14ac:dyDescent="0.2">
      <c r="B52" s="958" t="s">
        <v>714</v>
      </c>
      <c r="C52" s="1052"/>
      <c r="D52" s="1090"/>
      <c r="E52" s="1090"/>
      <c r="F52" s="1510"/>
      <c r="G52" s="1510"/>
      <c r="H52" s="1073">
        <v>1</v>
      </c>
      <c r="I52" s="960">
        <f t="shared" si="15"/>
        <v>0</v>
      </c>
      <c r="J52" s="928">
        <f>I52/15</f>
        <v>0</v>
      </c>
      <c r="L52" s="754"/>
      <c r="M52" s="754">
        <f t="shared" si="16"/>
        <v>0</v>
      </c>
      <c r="N52" s="754">
        <f t="shared" si="17"/>
        <v>0</v>
      </c>
      <c r="O52" s="754">
        <f t="shared" si="18"/>
        <v>0</v>
      </c>
      <c r="P52" s="754"/>
      <c r="Q52" s="754"/>
      <c r="R52" s="754"/>
    </row>
    <row r="53" spans="2:18" s="755" customFormat="1" x14ac:dyDescent="0.2">
      <c r="B53" s="958" t="s">
        <v>715</v>
      </c>
      <c r="C53" s="1052"/>
      <c r="D53" s="1090"/>
      <c r="E53" s="1090"/>
      <c r="F53" s="1510"/>
      <c r="G53" s="1510"/>
      <c r="H53" s="1073">
        <v>1</v>
      </c>
      <c r="I53" s="960">
        <f t="shared" si="15"/>
        <v>0</v>
      </c>
      <c r="J53" s="928">
        <f>I53/15</f>
        <v>0</v>
      </c>
      <c r="L53" s="754"/>
      <c r="M53" s="754">
        <f t="shared" si="16"/>
        <v>0</v>
      </c>
      <c r="N53" s="754">
        <f t="shared" si="17"/>
        <v>0</v>
      </c>
      <c r="O53" s="754">
        <f t="shared" si="18"/>
        <v>0</v>
      </c>
      <c r="P53" s="754"/>
      <c r="Q53" s="754"/>
      <c r="R53" s="754"/>
    </row>
    <row r="54" spans="2:18" s="755" customFormat="1" x14ac:dyDescent="0.2">
      <c r="B54" s="1074"/>
      <c r="C54" s="866"/>
      <c r="D54" s="866"/>
      <c r="E54" s="1075"/>
      <c r="F54" s="1076"/>
      <c r="G54" s="1077">
        <f>SUM(O49:O53)</f>
        <v>0</v>
      </c>
      <c r="H54" s="867" t="s">
        <v>283</v>
      </c>
      <c r="I54" s="820">
        <f>SUM(I49:I53)</f>
        <v>0</v>
      </c>
      <c r="J54" s="821">
        <f>SUM(J49:J53)</f>
        <v>0</v>
      </c>
      <c r="L54" s="754"/>
      <c r="M54" s="754"/>
      <c r="N54" s="754"/>
      <c r="O54" s="754"/>
      <c r="P54" s="754"/>
      <c r="Q54" s="754"/>
      <c r="R54" s="754"/>
    </row>
    <row r="55" spans="2:18" s="842" customFormat="1" x14ac:dyDescent="0.2">
      <c r="B55" s="1078"/>
      <c r="C55" s="1079"/>
      <c r="D55" s="1079"/>
      <c r="E55" s="1080"/>
      <c r="F55" s="1081"/>
      <c r="G55" s="1081"/>
      <c r="H55" s="1082"/>
      <c r="I55" s="1083"/>
      <c r="J55" s="1083"/>
      <c r="L55" s="840"/>
      <c r="M55" s="754"/>
      <c r="N55" s="840"/>
      <c r="O55" s="840"/>
      <c r="P55" s="840"/>
      <c r="Q55" s="840"/>
      <c r="R55" s="840"/>
    </row>
    <row r="56" spans="2:18" s="842" customFormat="1" x14ac:dyDescent="0.2">
      <c r="B56" s="1084"/>
      <c r="C56" s="1085"/>
      <c r="D56" s="1085"/>
      <c r="E56" s="1086"/>
      <c r="F56" s="1087"/>
      <c r="G56" s="1087"/>
      <c r="H56" s="1088"/>
      <c r="I56" s="1089"/>
      <c r="J56" s="1089"/>
      <c r="L56" s="840"/>
      <c r="M56" s="754"/>
      <c r="N56" s="840"/>
      <c r="O56" s="840"/>
      <c r="P56" s="840"/>
      <c r="Q56" s="840"/>
      <c r="R56" s="840"/>
    </row>
    <row r="57" spans="2:18" s="682" customFormat="1" ht="21" customHeight="1" x14ac:dyDescent="0.25">
      <c r="B57" s="710" t="s">
        <v>717</v>
      </c>
      <c r="C57" s="1066"/>
      <c r="D57" s="1066"/>
      <c r="E57" s="712"/>
      <c r="F57" s="714"/>
      <c r="G57" s="714"/>
      <c r="H57" s="714"/>
      <c r="I57" s="714"/>
      <c r="J57" s="1067"/>
      <c r="L57" s="685"/>
      <c r="M57" s="754"/>
      <c r="N57" s="685"/>
      <c r="O57" s="685"/>
      <c r="P57" s="685"/>
      <c r="Q57" s="685"/>
      <c r="R57" s="685"/>
    </row>
    <row r="58" spans="2:18" s="736" customFormat="1" x14ac:dyDescent="0.2">
      <c r="B58" s="809"/>
      <c r="C58" s="3030" t="s">
        <v>718</v>
      </c>
      <c r="D58" s="3032"/>
      <c r="E58" s="1003" t="s">
        <v>710</v>
      </c>
      <c r="F58" s="810" t="s">
        <v>563</v>
      </c>
      <c r="G58" s="1109" t="s">
        <v>719</v>
      </c>
      <c r="H58" s="1068" t="s">
        <v>442</v>
      </c>
      <c r="I58" s="1069" t="s">
        <v>443</v>
      </c>
      <c r="J58" s="1070" t="s">
        <v>443</v>
      </c>
      <c r="L58" s="734"/>
      <c r="M58" s="754"/>
      <c r="N58" s="734"/>
      <c r="O58" s="734"/>
      <c r="P58" s="734"/>
      <c r="Q58" s="734"/>
      <c r="R58" s="734"/>
    </row>
    <row r="59" spans="2:18" s="747" customFormat="1" x14ac:dyDescent="0.2">
      <c r="B59" s="737"/>
      <c r="C59" s="3128"/>
      <c r="D59" s="3130"/>
      <c r="E59" s="739"/>
      <c r="F59" s="739" t="s">
        <v>1005</v>
      </c>
      <c r="G59" s="1072" t="s">
        <v>1018</v>
      </c>
      <c r="H59" s="858" t="s">
        <v>448</v>
      </c>
      <c r="I59" s="858" t="s">
        <v>445</v>
      </c>
      <c r="J59" s="859" t="s">
        <v>315</v>
      </c>
      <c r="L59" s="745"/>
      <c r="M59" s="754"/>
      <c r="N59" s="745"/>
      <c r="O59" s="745"/>
      <c r="P59" s="745"/>
      <c r="Q59" s="745"/>
      <c r="R59" s="745"/>
    </row>
    <row r="60" spans="2:18" s="755" customFormat="1" x14ac:dyDescent="0.2">
      <c r="B60" s="958" t="s">
        <v>547</v>
      </c>
      <c r="C60" s="3008"/>
      <c r="D60" s="3009"/>
      <c r="E60" s="1090"/>
      <c r="F60" s="1090"/>
      <c r="G60" s="1510"/>
      <c r="H60" s="960">
        <v>1.3</v>
      </c>
      <c r="I60" s="960">
        <f>IF(C60&lt;&gt;"",F60*H60*E60,0)</f>
        <v>0</v>
      </c>
      <c r="J60" s="928">
        <f t="shared" ref="J60:J69" si="19">I60/15</f>
        <v>0</v>
      </c>
      <c r="L60" s="754"/>
      <c r="M60" s="754">
        <f t="shared" ref="M60:M69" si="20">IF(G60&lt;&gt;"",IF(AND(G60&gt;=$M$13,G60&lt;=$N$13),1,0),0)</f>
        <v>0</v>
      </c>
      <c r="N60" s="754"/>
      <c r="O60" s="754"/>
      <c r="P60" s="754"/>
      <c r="Q60" s="754"/>
      <c r="R60" s="754"/>
    </row>
    <row r="61" spans="2:18" s="755" customFormat="1" x14ac:dyDescent="0.2">
      <c r="B61" s="958" t="s">
        <v>548</v>
      </c>
      <c r="C61" s="3008"/>
      <c r="D61" s="3009"/>
      <c r="E61" s="1090"/>
      <c r="F61" s="1090"/>
      <c r="G61" s="1510"/>
      <c r="H61" s="960">
        <v>1.3</v>
      </c>
      <c r="I61" s="960">
        <f t="shared" ref="I61:I69" si="21">IF(C61&lt;&gt;"",F61*H61*E61,0)</f>
        <v>0</v>
      </c>
      <c r="J61" s="928">
        <f t="shared" si="19"/>
        <v>0</v>
      </c>
      <c r="L61" s="754"/>
      <c r="M61" s="754">
        <f t="shared" si="20"/>
        <v>0</v>
      </c>
      <c r="N61" s="754"/>
      <c r="O61" s="754"/>
      <c r="P61" s="754"/>
      <c r="Q61" s="754"/>
      <c r="R61" s="754"/>
    </row>
    <row r="62" spans="2:18" s="755" customFormat="1" x14ac:dyDescent="0.2">
      <c r="B62" s="958" t="s">
        <v>549</v>
      </c>
      <c r="C62" s="3008"/>
      <c r="D62" s="3009"/>
      <c r="E62" s="1090"/>
      <c r="F62" s="1090"/>
      <c r="G62" s="1510"/>
      <c r="H62" s="960">
        <v>1.3</v>
      </c>
      <c r="I62" s="960">
        <f t="shared" si="21"/>
        <v>0</v>
      </c>
      <c r="J62" s="928">
        <f t="shared" si="19"/>
        <v>0</v>
      </c>
      <c r="L62" s="754"/>
      <c r="M62" s="754">
        <f t="shared" si="20"/>
        <v>0</v>
      </c>
      <c r="N62" s="754"/>
      <c r="O62" s="754"/>
      <c r="P62" s="754"/>
      <c r="Q62" s="754"/>
      <c r="R62" s="754"/>
    </row>
    <row r="63" spans="2:18" s="755" customFormat="1" x14ac:dyDescent="0.2">
      <c r="B63" s="958" t="s">
        <v>550</v>
      </c>
      <c r="C63" s="3008"/>
      <c r="D63" s="3009"/>
      <c r="E63" s="1090"/>
      <c r="F63" s="1090"/>
      <c r="G63" s="1510"/>
      <c r="H63" s="960">
        <v>1.3</v>
      </c>
      <c r="I63" s="960">
        <f t="shared" si="21"/>
        <v>0</v>
      </c>
      <c r="J63" s="928">
        <f t="shared" si="19"/>
        <v>0</v>
      </c>
      <c r="L63" s="754"/>
      <c r="M63" s="754">
        <f t="shared" si="20"/>
        <v>0</v>
      </c>
      <c r="N63" s="754"/>
      <c r="O63" s="754"/>
      <c r="P63" s="754"/>
      <c r="Q63" s="754"/>
      <c r="R63" s="754"/>
    </row>
    <row r="64" spans="2:18" s="755" customFormat="1" x14ac:dyDescent="0.2">
      <c r="B64" s="958" t="s">
        <v>551</v>
      </c>
      <c r="C64" s="3008"/>
      <c r="D64" s="3009"/>
      <c r="E64" s="1090"/>
      <c r="F64" s="1090"/>
      <c r="G64" s="1510"/>
      <c r="H64" s="960">
        <v>1.3</v>
      </c>
      <c r="I64" s="960">
        <f t="shared" si="21"/>
        <v>0</v>
      </c>
      <c r="J64" s="928">
        <f t="shared" si="19"/>
        <v>0</v>
      </c>
      <c r="L64" s="754"/>
      <c r="M64" s="754">
        <f t="shared" si="20"/>
        <v>0</v>
      </c>
      <c r="N64" s="754"/>
      <c r="O64" s="754"/>
      <c r="P64" s="754"/>
      <c r="Q64" s="754"/>
      <c r="R64" s="754"/>
    </row>
    <row r="65" spans="2:18" s="755" customFormat="1" x14ac:dyDescent="0.2">
      <c r="B65" s="958" t="s">
        <v>552</v>
      </c>
      <c r="C65" s="3008"/>
      <c r="D65" s="3009"/>
      <c r="E65" s="1090"/>
      <c r="F65" s="1090"/>
      <c r="G65" s="1510"/>
      <c r="H65" s="960">
        <v>1.3</v>
      </c>
      <c r="I65" s="960">
        <f t="shared" si="21"/>
        <v>0</v>
      </c>
      <c r="J65" s="928">
        <f t="shared" si="19"/>
        <v>0</v>
      </c>
      <c r="L65" s="754"/>
      <c r="M65" s="754">
        <f t="shared" si="20"/>
        <v>0</v>
      </c>
      <c r="N65" s="754"/>
      <c r="O65" s="754"/>
      <c r="P65" s="754"/>
      <c r="Q65" s="754"/>
      <c r="R65" s="754"/>
    </row>
    <row r="66" spans="2:18" s="755" customFormat="1" x14ac:dyDescent="0.2">
      <c r="B66" s="958" t="s">
        <v>553</v>
      </c>
      <c r="C66" s="3008"/>
      <c r="D66" s="3009"/>
      <c r="E66" s="1090"/>
      <c r="F66" s="1090"/>
      <c r="G66" s="1510"/>
      <c r="H66" s="960">
        <v>1.3</v>
      </c>
      <c r="I66" s="960">
        <f t="shared" si="21"/>
        <v>0</v>
      </c>
      <c r="J66" s="928">
        <f t="shared" si="19"/>
        <v>0</v>
      </c>
      <c r="L66" s="754"/>
      <c r="M66" s="754">
        <f t="shared" si="20"/>
        <v>0</v>
      </c>
      <c r="N66" s="754"/>
      <c r="O66" s="754"/>
      <c r="P66" s="754"/>
      <c r="Q66" s="754"/>
      <c r="R66" s="754"/>
    </row>
    <row r="67" spans="2:18" s="755" customFormat="1" x14ac:dyDescent="0.2">
      <c r="B67" s="958" t="s">
        <v>554</v>
      </c>
      <c r="C67" s="3008"/>
      <c r="D67" s="3009"/>
      <c r="E67" s="1090"/>
      <c r="F67" s="1090"/>
      <c r="G67" s="1510"/>
      <c r="H67" s="960">
        <v>1.3</v>
      </c>
      <c r="I67" s="960">
        <f t="shared" si="21"/>
        <v>0</v>
      </c>
      <c r="J67" s="928">
        <f t="shared" si="19"/>
        <v>0</v>
      </c>
      <c r="L67" s="754"/>
      <c r="M67" s="754">
        <f t="shared" si="20"/>
        <v>0</v>
      </c>
      <c r="N67" s="754"/>
      <c r="O67" s="754"/>
      <c r="P67" s="754"/>
      <c r="Q67" s="754"/>
      <c r="R67" s="754"/>
    </row>
    <row r="68" spans="2:18" s="755" customFormat="1" x14ac:dyDescent="0.2">
      <c r="B68" s="958" t="s">
        <v>721</v>
      </c>
      <c r="C68" s="3008"/>
      <c r="D68" s="3009"/>
      <c r="E68" s="1090"/>
      <c r="F68" s="1090"/>
      <c r="G68" s="1510"/>
      <c r="H68" s="960">
        <v>1.3</v>
      </c>
      <c r="I68" s="960">
        <f t="shared" si="21"/>
        <v>0</v>
      </c>
      <c r="J68" s="928">
        <f t="shared" si="19"/>
        <v>0</v>
      </c>
      <c r="L68" s="754"/>
      <c r="M68" s="754">
        <f t="shared" si="20"/>
        <v>0</v>
      </c>
      <c r="N68" s="754"/>
      <c r="O68" s="754"/>
      <c r="P68" s="754"/>
      <c r="Q68" s="754"/>
      <c r="R68" s="754"/>
    </row>
    <row r="69" spans="2:18" s="755" customFormat="1" x14ac:dyDescent="0.2">
      <c r="B69" s="958" t="s">
        <v>722</v>
      </c>
      <c r="C69" s="3008"/>
      <c r="D69" s="3009"/>
      <c r="E69" s="1090"/>
      <c r="F69" s="1090"/>
      <c r="G69" s="1510"/>
      <c r="H69" s="960">
        <v>1.3</v>
      </c>
      <c r="I69" s="960">
        <f t="shared" si="21"/>
        <v>0</v>
      </c>
      <c r="J69" s="928">
        <f t="shared" si="19"/>
        <v>0</v>
      </c>
      <c r="L69" s="754"/>
      <c r="M69" s="754">
        <f t="shared" si="20"/>
        <v>0</v>
      </c>
      <c r="N69" s="754"/>
      <c r="O69" s="754"/>
      <c r="P69" s="754"/>
      <c r="Q69" s="754"/>
      <c r="R69" s="754"/>
    </row>
    <row r="70" spans="2:18" s="755" customFormat="1" x14ac:dyDescent="0.2">
      <c r="B70" s="1074"/>
      <c r="C70" s="866"/>
      <c r="D70" s="866"/>
      <c r="E70" s="1075"/>
      <c r="F70" s="1076"/>
      <c r="G70" s="1077">
        <f>SUM(M60:M69)</f>
        <v>0</v>
      </c>
      <c r="H70" s="867" t="s">
        <v>283</v>
      </c>
      <c r="I70" s="820">
        <f>SUM(I60:I69)</f>
        <v>0</v>
      </c>
      <c r="J70" s="821">
        <f>SUM(J60:J69)</f>
        <v>0</v>
      </c>
      <c r="L70" s="754"/>
      <c r="M70" s="754"/>
      <c r="N70" s="754"/>
      <c r="O70" s="754"/>
      <c r="P70" s="754"/>
      <c r="Q70" s="754"/>
      <c r="R70" s="754"/>
    </row>
    <row r="71" spans="2:18" s="842" customFormat="1" ht="15" x14ac:dyDescent="0.2">
      <c r="B71" s="968"/>
      <c r="C71" s="1092"/>
      <c r="D71" s="1092"/>
      <c r="E71" s="1092"/>
      <c r="F71" s="968"/>
      <c r="G71" s="968"/>
      <c r="H71" s="1092"/>
      <c r="I71" s="981"/>
      <c r="J71" s="981"/>
      <c r="L71" s="840"/>
      <c r="M71" s="754"/>
      <c r="N71" s="840"/>
      <c r="O71" s="840"/>
      <c r="P71" s="840"/>
      <c r="Q71" s="840"/>
      <c r="R71" s="840"/>
    </row>
    <row r="72" spans="2:18" s="842" customFormat="1" ht="15" x14ac:dyDescent="0.2">
      <c r="B72" s="968"/>
      <c r="C72" s="1092"/>
      <c r="D72" s="1092"/>
      <c r="E72" s="1092"/>
      <c r="F72" s="968"/>
      <c r="G72" s="968"/>
      <c r="H72" s="1092"/>
      <c r="I72" s="981"/>
      <c r="J72" s="981"/>
      <c r="L72" s="840"/>
      <c r="M72" s="754"/>
      <c r="N72" s="840"/>
      <c r="O72" s="840"/>
      <c r="P72" s="840"/>
      <c r="Q72" s="840"/>
      <c r="R72" s="840"/>
    </row>
    <row r="73" spans="2:18" s="682" customFormat="1" ht="21" customHeight="1" x14ac:dyDescent="0.25">
      <c r="B73" s="710" t="s">
        <v>723</v>
      </c>
      <c r="C73" s="1066"/>
      <c r="D73" s="1066"/>
      <c r="E73" s="712"/>
      <c r="F73" s="714"/>
      <c r="G73" s="714"/>
      <c r="H73" s="714"/>
      <c r="I73" s="714"/>
      <c r="J73" s="1067"/>
      <c r="L73" s="685"/>
      <c r="M73" s="754"/>
      <c r="N73" s="685"/>
      <c r="O73" s="685"/>
      <c r="P73" s="685"/>
      <c r="Q73" s="685"/>
      <c r="R73" s="685"/>
    </row>
    <row r="74" spans="2:18" s="736" customFormat="1" x14ac:dyDescent="0.2">
      <c r="B74" s="809"/>
      <c r="C74" s="3030" t="s">
        <v>718</v>
      </c>
      <c r="D74" s="3032"/>
      <c r="E74" s="1003" t="s">
        <v>710</v>
      </c>
      <c r="F74" s="810" t="s">
        <v>563</v>
      </c>
      <c r="G74" s="810" t="s">
        <v>724</v>
      </c>
      <c r="H74" s="1068" t="s">
        <v>442</v>
      </c>
      <c r="I74" s="1069" t="s">
        <v>443</v>
      </c>
      <c r="J74" s="1070" t="s">
        <v>443</v>
      </c>
      <c r="L74" s="734"/>
      <c r="M74" s="754"/>
      <c r="N74" s="734"/>
      <c r="O74" s="734"/>
      <c r="P74" s="734"/>
      <c r="Q74" s="734"/>
      <c r="R74" s="734"/>
    </row>
    <row r="75" spans="2:18" s="747" customFormat="1" x14ac:dyDescent="0.2">
      <c r="B75" s="737"/>
      <c r="C75" s="3128"/>
      <c r="D75" s="3130"/>
      <c r="E75" s="739"/>
      <c r="F75" s="739" t="s">
        <v>1004</v>
      </c>
      <c r="G75" s="1072" t="s">
        <v>1018</v>
      </c>
      <c r="H75" s="858" t="s">
        <v>448</v>
      </c>
      <c r="I75" s="858" t="s">
        <v>445</v>
      </c>
      <c r="J75" s="859" t="s">
        <v>315</v>
      </c>
      <c r="L75" s="745"/>
      <c r="M75" s="754"/>
      <c r="N75" s="745"/>
      <c r="O75" s="745"/>
      <c r="P75" s="745"/>
      <c r="Q75" s="745"/>
      <c r="R75" s="745"/>
    </row>
    <row r="76" spans="2:18" s="755" customFormat="1" x14ac:dyDescent="0.2">
      <c r="B76" s="958" t="s">
        <v>547</v>
      </c>
      <c r="C76" s="3008"/>
      <c r="D76" s="3009"/>
      <c r="E76" s="1090"/>
      <c r="F76" s="1090"/>
      <c r="G76" s="1510"/>
      <c r="H76" s="1073">
        <v>1</v>
      </c>
      <c r="I76" s="960">
        <f>IF(C76&lt;&gt;"",F76*H76*E76,0)</f>
        <v>0</v>
      </c>
      <c r="J76" s="928">
        <f>I76/15</f>
        <v>0</v>
      </c>
      <c r="L76" s="754"/>
      <c r="M76" s="754">
        <f>IF(G76&lt;&gt;"",IF(AND(G76&gt;=$M$13,G76&lt;=$N$13),1,0),0)</f>
        <v>0</v>
      </c>
      <c r="N76" s="754"/>
      <c r="O76" s="754"/>
      <c r="P76" s="754"/>
      <c r="Q76" s="754"/>
      <c r="R76" s="754"/>
    </row>
    <row r="77" spans="2:18" s="755" customFormat="1" x14ac:dyDescent="0.2">
      <c r="B77" s="958" t="s">
        <v>548</v>
      </c>
      <c r="C77" s="3008"/>
      <c r="D77" s="3009"/>
      <c r="E77" s="1090"/>
      <c r="F77" s="1090"/>
      <c r="G77" s="1510"/>
      <c r="H77" s="1073">
        <v>1</v>
      </c>
      <c r="I77" s="960">
        <f t="shared" ref="I77:I80" si="22">IF(C77&lt;&gt;"",F77*H77*E77,0)</f>
        <v>0</v>
      </c>
      <c r="J77" s="928">
        <f>I77/15</f>
        <v>0</v>
      </c>
      <c r="L77" s="754"/>
      <c r="M77" s="754">
        <f>IF(G77&lt;&gt;"",IF(AND(G77&gt;=$M$13,G77&lt;=$N$13),1,0),0)</f>
        <v>0</v>
      </c>
      <c r="N77" s="754"/>
      <c r="O77" s="754"/>
      <c r="P77" s="754"/>
      <c r="Q77" s="754"/>
      <c r="R77" s="754"/>
    </row>
    <row r="78" spans="2:18" s="755" customFormat="1" x14ac:dyDescent="0.2">
      <c r="B78" s="958" t="s">
        <v>549</v>
      </c>
      <c r="C78" s="3008"/>
      <c r="D78" s="3009"/>
      <c r="E78" s="1090"/>
      <c r="F78" s="1090"/>
      <c r="G78" s="1510"/>
      <c r="H78" s="1073">
        <v>1</v>
      </c>
      <c r="I78" s="960">
        <f t="shared" si="22"/>
        <v>0</v>
      </c>
      <c r="J78" s="928">
        <f>I78/15</f>
        <v>0</v>
      </c>
      <c r="L78" s="754"/>
      <c r="M78" s="754">
        <f>IF(G78&lt;&gt;"",IF(AND(G78&gt;=$M$13,G78&lt;=$N$13),1,0),0)</f>
        <v>0</v>
      </c>
      <c r="N78" s="754"/>
      <c r="O78" s="754"/>
      <c r="P78" s="754"/>
      <c r="Q78" s="754"/>
      <c r="R78" s="754"/>
    </row>
    <row r="79" spans="2:18" s="755" customFormat="1" x14ac:dyDescent="0.2">
      <c r="B79" s="958" t="s">
        <v>550</v>
      </c>
      <c r="C79" s="3008"/>
      <c r="D79" s="3009"/>
      <c r="E79" s="1090"/>
      <c r="F79" s="1090"/>
      <c r="G79" s="1510"/>
      <c r="H79" s="1073">
        <v>1</v>
      </c>
      <c r="I79" s="960">
        <f t="shared" si="22"/>
        <v>0</v>
      </c>
      <c r="J79" s="928">
        <f>I79/15</f>
        <v>0</v>
      </c>
      <c r="L79" s="754"/>
      <c r="M79" s="754">
        <f>IF(G79&lt;&gt;"",IF(AND(G79&gt;=$M$13,G79&lt;=$N$13),1,0),0)</f>
        <v>0</v>
      </c>
      <c r="N79" s="754"/>
      <c r="O79" s="754"/>
      <c r="P79" s="754"/>
      <c r="Q79" s="754"/>
      <c r="R79" s="754"/>
    </row>
    <row r="80" spans="2:18" s="755" customFormat="1" x14ac:dyDescent="0.2">
      <c r="B80" s="958" t="s">
        <v>551</v>
      </c>
      <c r="C80" s="3008"/>
      <c r="D80" s="3009"/>
      <c r="E80" s="1090"/>
      <c r="F80" s="1090"/>
      <c r="G80" s="1510"/>
      <c r="H80" s="1073">
        <v>1</v>
      </c>
      <c r="I80" s="960">
        <f t="shared" si="22"/>
        <v>0</v>
      </c>
      <c r="J80" s="928">
        <f>I80/15</f>
        <v>0</v>
      </c>
      <c r="L80" s="754"/>
      <c r="M80" s="754">
        <f>IF(G80&lt;&gt;"",IF(AND(G80&gt;=$M$13,G80&lt;=$N$13),1,0),0)</f>
        <v>0</v>
      </c>
      <c r="N80" s="754"/>
      <c r="O80" s="754"/>
      <c r="P80" s="754"/>
      <c r="Q80" s="754"/>
      <c r="R80" s="754"/>
    </row>
    <row r="81" spans="2:18" s="755" customFormat="1" x14ac:dyDescent="0.2">
      <c r="B81" s="1074"/>
      <c r="C81" s="866"/>
      <c r="D81" s="866"/>
      <c r="E81" s="1075"/>
      <c r="F81" s="1076"/>
      <c r="G81" s="1077">
        <f>SUM(M76:M80)</f>
        <v>0</v>
      </c>
      <c r="H81" s="867" t="s">
        <v>283</v>
      </c>
      <c r="I81" s="820">
        <f>SUM(I76:I80)</f>
        <v>0</v>
      </c>
      <c r="J81" s="821">
        <f>SUM(J76:J80)</f>
        <v>0</v>
      </c>
      <c r="L81" s="754"/>
      <c r="M81" s="754"/>
      <c r="N81" s="754"/>
      <c r="O81" s="754"/>
      <c r="P81" s="754"/>
      <c r="Q81" s="754"/>
      <c r="R81" s="754"/>
    </row>
    <row r="82" spans="2:18" s="842" customFormat="1" ht="15" x14ac:dyDescent="0.2">
      <c r="B82" s="968"/>
      <c r="C82" s="1092"/>
      <c r="D82" s="1092"/>
      <c r="E82" s="1092"/>
      <c r="F82" s="968"/>
      <c r="G82" s="968"/>
      <c r="H82" s="1092"/>
      <c r="I82" s="981"/>
      <c r="J82" s="981"/>
      <c r="L82" s="840"/>
      <c r="M82" s="754"/>
      <c r="N82" s="840"/>
      <c r="O82" s="840"/>
      <c r="P82" s="840"/>
      <c r="Q82" s="840"/>
      <c r="R82" s="840"/>
    </row>
    <row r="83" spans="2:18" s="842" customFormat="1" ht="15" x14ac:dyDescent="0.2">
      <c r="B83" s="945"/>
      <c r="C83" s="1093"/>
      <c r="D83" s="1093"/>
      <c r="E83" s="1093"/>
      <c r="F83" s="945"/>
      <c r="G83" s="945"/>
      <c r="H83" s="1093"/>
      <c r="I83" s="980"/>
      <c r="J83" s="980"/>
      <c r="L83" s="840"/>
      <c r="M83" s="754"/>
      <c r="N83" s="840"/>
      <c r="O83" s="840"/>
      <c r="P83" s="840"/>
      <c r="Q83" s="840"/>
      <c r="R83" s="840"/>
    </row>
    <row r="84" spans="2:18" s="682" customFormat="1" ht="34.5" customHeight="1" x14ac:dyDescent="0.2">
      <c r="B84" s="3148" t="s">
        <v>810</v>
      </c>
      <c r="C84" s="3149"/>
      <c r="D84" s="3149"/>
      <c r="E84" s="3149"/>
      <c r="F84" s="3149"/>
      <c r="G84" s="3149"/>
      <c r="H84" s="3149"/>
      <c r="I84" s="3149"/>
      <c r="J84" s="3150"/>
      <c r="L84" s="685"/>
      <c r="M84" s="754"/>
      <c r="N84" s="685"/>
      <c r="O84" s="685"/>
      <c r="P84" s="685"/>
      <c r="Q84" s="685"/>
      <c r="R84" s="685"/>
    </row>
    <row r="85" spans="2:18" s="736" customFormat="1" x14ac:dyDescent="0.2">
      <c r="B85" s="809"/>
      <c r="C85" s="3030" t="s">
        <v>726</v>
      </c>
      <c r="D85" s="3032"/>
      <c r="E85" s="810" t="s">
        <v>563</v>
      </c>
      <c r="F85" s="1109" t="s">
        <v>805</v>
      </c>
      <c r="G85" s="1109" t="s">
        <v>806</v>
      </c>
      <c r="H85" s="1068" t="s">
        <v>442</v>
      </c>
      <c r="I85" s="1069" t="s">
        <v>443</v>
      </c>
      <c r="J85" s="1070" t="s">
        <v>443</v>
      </c>
      <c r="L85" s="734"/>
      <c r="M85" s="754"/>
      <c r="N85" s="734"/>
      <c r="O85" s="734"/>
      <c r="P85" s="734"/>
      <c r="Q85" s="734"/>
      <c r="R85" s="734"/>
    </row>
    <row r="86" spans="2:18" s="747" customFormat="1" x14ac:dyDescent="0.2">
      <c r="B86" s="737"/>
      <c r="C86" s="1176"/>
      <c r="D86" s="1177"/>
      <c r="E86" s="739" t="s">
        <v>725</v>
      </c>
      <c r="F86" s="1072" t="s">
        <v>1018</v>
      </c>
      <c r="G86" s="1072" t="s">
        <v>1018</v>
      </c>
      <c r="H86" s="858" t="s">
        <v>448</v>
      </c>
      <c r="I86" s="858" t="s">
        <v>445</v>
      </c>
      <c r="J86" s="859" t="s">
        <v>315</v>
      </c>
      <c r="L86" s="745"/>
      <c r="M86" s="754"/>
      <c r="N86" s="745"/>
      <c r="O86" s="745"/>
      <c r="P86" s="745"/>
      <c r="Q86" s="745"/>
      <c r="R86" s="745"/>
    </row>
    <row r="87" spans="2:18" s="755" customFormat="1" x14ac:dyDescent="0.2">
      <c r="B87" s="958" t="s">
        <v>727</v>
      </c>
      <c r="C87" s="3008"/>
      <c r="D87" s="3009"/>
      <c r="E87" s="1090"/>
      <c r="F87" s="1510"/>
      <c r="G87" s="1510"/>
      <c r="H87" s="1073">
        <v>1</v>
      </c>
      <c r="I87" s="960">
        <f>IF(C87&lt;&gt;"",E87*H87,0)</f>
        <v>0</v>
      </c>
      <c r="J87" s="928">
        <f>I87/15</f>
        <v>0</v>
      </c>
      <c r="L87" s="754"/>
      <c r="M87" s="754">
        <f>IF(F87&lt;&gt;"",IF(F87&lt;$M$13,0,1),0)</f>
        <v>0</v>
      </c>
      <c r="N87" s="754">
        <f>IF(G87&lt;&gt;"",IF(G87&gt;$N$13,1,IF(G87&gt;=$M$13,1,0)),0)</f>
        <v>0</v>
      </c>
      <c r="O87" s="754">
        <f>IF(OR(M87=1,N87=1),1,0)</f>
        <v>0</v>
      </c>
      <c r="P87" s="754"/>
      <c r="Q87" s="754"/>
      <c r="R87" s="754"/>
    </row>
    <row r="88" spans="2:18" s="755" customFormat="1" x14ac:dyDescent="0.2">
      <c r="B88" s="958" t="s">
        <v>728</v>
      </c>
      <c r="C88" s="3008"/>
      <c r="D88" s="3009"/>
      <c r="E88" s="1090"/>
      <c r="F88" s="1510"/>
      <c r="G88" s="1510"/>
      <c r="H88" s="1073">
        <v>1</v>
      </c>
      <c r="I88" s="960">
        <f t="shared" ref="I88:I91" si="23">IF(C88&lt;&gt;"",E88*H88,0)</f>
        <v>0</v>
      </c>
      <c r="J88" s="928">
        <f>I88/15</f>
        <v>0</v>
      </c>
      <c r="L88" s="754"/>
      <c r="M88" s="754">
        <f t="shared" ref="M88:M91" si="24">IF(F88&lt;&gt;"",IF(F88&lt;$M$13,0,1),0)</f>
        <v>0</v>
      </c>
      <c r="N88" s="754">
        <f t="shared" ref="N88:N91" si="25">IF(G88&lt;&gt;"",IF(G88&gt;$N$13,1,IF(G88&gt;=$M$13,1,0)),0)</f>
        <v>0</v>
      </c>
      <c r="O88" s="754">
        <f t="shared" ref="O88:O91" si="26">IF(OR(M88=1,N88=1),1,0)</f>
        <v>0</v>
      </c>
      <c r="P88" s="754"/>
      <c r="Q88" s="754"/>
      <c r="R88" s="754"/>
    </row>
    <row r="89" spans="2:18" s="755" customFormat="1" x14ac:dyDescent="0.2">
      <c r="B89" s="958" t="s">
        <v>729</v>
      </c>
      <c r="C89" s="3008"/>
      <c r="D89" s="3009"/>
      <c r="E89" s="1090"/>
      <c r="F89" s="1510"/>
      <c r="G89" s="1510"/>
      <c r="H89" s="1073">
        <v>1</v>
      </c>
      <c r="I89" s="960">
        <f t="shared" si="23"/>
        <v>0</v>
      </c>
      <c r="J89" s="928">
        <f>I89/15</f>
        <v>0</v>
      </c>
      <c r="L89" s="754"/>
      <c r="M89" s="754">
        <f t="shared" si="24"/>
        <v>0</v>
      </c>
      <c r="N89" s="754">
        <f t="shared" si="25"/>
        <v>0</v>
      </c>
      <c r="O89" s="754">
        <f t="shared" si="26"/>
        <v>0</v>
      </c>
      <c r="P89" s="754"/>
      <c r="Q89" s="754"/>
      <c r="R89" s="754"/>
    </row>
    <row r="90" spans="2:18" s="755" customFormat="1" x14ac:dyDescent="0.2">
      <c r="B90" s="958" t="s">
        <v>730</v>
      </c>
      <c r="C90" s="3008"/>
      <c r="D90" s="3009"/>
      <c r="E90" s="1090"/>
      <c r="F90" s="1510"/>
      <c r="G90" s="1510"/>
      <c r="H90" s="1073">
        <v>1</v>
      </c>
      <c r="I90" s="960">
        <f t="shared" si="23"/>
        <v>0</v>
      </c>
      <c r="J90" s="928">
        <f>I90/15</f>
        <v>0</v>
      </c>
      <c r="L90" s="754"/>
      <c r="M90" s="754">
        <f t="shared" si="24"/>
        <v>0</v>
      </c>
      <c r="N90" s="754">
        <f t="shared" si="25"/>
        <v>0</v>
      </c>
      <c r="O90" s="754">
        <f t="shared" si="26"/>
        <v>0</v>
      </c>
      <c r="P90" s="754"/>
      <c r="Q90" s="754"/>
      <c r="R90" s="754"/>
    </row>
    <row r="91" spans="2:18" s="755" customFormat="1" x14ac:dyDescent="0.2">
      <c r="B91" s="958" t="s">
        <v>731</v>
      </c>
      <c r="C91" s="3008"/>
      <c r="D91" s="3009"/>
      <c r="E91" s="1090"/>
      <c r="F91" s="1510"/>
      <c r="G91" s="1510"/>
      <c r="H91" s="1073">
        <v>1</v>
      </c>
      <c r="I91" s="960">
        <f t="shared" si="23"/>
        <v>0</v>
      </c>
      <c r="J91" s="928">
        <f>I91/15</f>
        <v>0</v>
      </c>
      <c r="L91" s="754"/>
      <c r="M91" s="754">
        <f t="shared" si="24"/>
        <v>0</v>
      </c>
      <c r="N91" s="754">
        <f t="shared" si="25"/>
        <v>0</v>
      </c>
      <c r="O91" s="754">
        <f t="shared" si="26"/>
        <v>0</v>
      </c>
      <c r="P91" s="754"/>
      <c r="Q91" s="754"/>
      <c r="R91" s="754"/>
    </row>
    <row r="92" spans="2:18" s="755" customFormat="1" x14ac:dyDescent="0.2">
      <c r="B92" s="1074"/>
      <c r="C92" s="866"/>
      <c r="D92" s="866"/>
      <c r="E92" s="1075"/>
      <c r="F92" s="1076"/>
      <c r="G92" s="1077">
        <f>SUM(O87:O91)</f>
        <v>0</v>
      </c>
      <c r="H92" s="867" t="s">
        <v>283</v>
      </c>
      <c r="I92" s="820">
        <f>SUM(I87:I91)</f>
        <v>0</v>
      </c>
      <c r="J92" s="821">
        <f>SUM(J87:J91)</f>
        <v>0</v>
      </c>
      <c r="L92" s="754"/>
      <c r="M92" s="754"/>
      <c r="N92" s="754"/>
      <c r="O92" s="754"/>
      <c r="P92" s="754"/>
      <c r="Q92" s="754"/>
      <c r="R92" s="754"/>
    </row>
    <row r="93" spans="2:18" s="842" customFormat="1" x14ac:dyDescent="0.2">
      <c r="B93" s="1094"/>
      <c r="C93" s="966"/>
      <c r="D93" s="966"/>
      <c r="E93" s="966"/>
      <c r="F93" s="1094"/>
      <c r="G93" s="1094"/>
      <c r="H93" s="966"/>
      <c r="I93" s="1095"/>
      <c r="J93" s="1095"/>
      <c r="L93" s="840"/>
      <c r="M93" s="754"/>
      <c r="N93" s="840"/>
      <c r="O93" s="840"/>
      <c r="P93" s="840"/>
      <c r="Q93" s="840"/>
      <c r="R93" s="840"/>
    </row>
    <row r="94" spans="2:18" s="842" customFormat="1" x14ac:dyDescent="0.2">
      <c r="B94" s="1034"/>
      <c r="C94" s="1096"/>
      <c r="D94" s="1096"/>
      <c r="E94" s="1096"/>
      <c r="F94" s="1034"/>
      <c r="G94" s="1034"/>
      <c r="H94" s="1096"/>
      <c r="I94" s="1097"/>
      <c r="J94" s="1097"/>
      <c r="L94" s="840"/>
      <c r="M94" s="754"/>
      <c r="N94" s="840"/>
      <c r="O94" s="840"/>
      <c r="P94" s="840"/>
      <c r="Q94" s="840"/>
      <c r="R94" s="840"/>
    </row>
    <row r="95" spans="2:18" s="682" customFormat="1" ht="35.25" customHeight="1" x14ac:dyDescent="0.25">
      <c r="B95" s="3145" t="s">
        <v>732</v>
      </c>
      <c r="C95" s="3146"/>
      <c r="D95" s="3146"/>
      <c r="E95" s="3146"/>
      <c r="F95" s="3146"/>
      <c r="G95" s="3146"/>
      <c r="H95" s="3146"/>
      <c r="I95" s="3146"/>
      <c r="J95" s="3147"/>
      <c r="L95" s="685"/>
      <c r="M95" s="754"/>
      <c r="N95" s="685"/>
      <c r="O95" s="685"/>
      <c r="P95" s="685"/>
      <c r="Q95" s="685"/>
      <c r="R95" s="685"/>
    </row>
    <row r="96" spans="2:18" s="736" customFormat="1" x14ac:dyDescent="0.2">
      <c r="B96" s="809"/>
      <c r="C96" s="3030" t="s">
        <v>733</v>
      </c>
      <c r="D96" s="3031"/>
      <c r="E96" s="3032"/>
      <c r="F96" s="810" t="s">
        <v>563</v>
      </c>
      <c r="G96" s="810" t="s">
        <v>724</v>
      </c>
      <c r="H96" s="1068" t="s">
        <v>442</v>
      </c>
      <c r="I96" s="1069" t="s">
        <v>443</v>
      </c>
      <c r="J96" s="1070" t="s">
        <v>443</v>
      </c>
      <c r="L96" s="734"/>
      <c r="M96" s="754"/>
      <c r="N96" s="734"/>
      <c r="O96" s="734"/>
      <c r="P96" s="734"/>
      <c r="Q96" s="734"/>
      <c r="R96" s="734"/>
    </row>
    <row r="97" spans="2:18" s="747" customFormat="1" x14ac:dyDescent="0.2">
      <c r="B97" s="737"/>
      <c r="C97" s="3143"/>
      <c r="D97" s="3159"/>
      <c r="E97" s="3144"/>
      <c r="F97" s="739" t="s">
        <v>725</v>
      </c>
      <c r="G97" s="1072" t="s">
        <v>1018</v>
      </c>
      <c r="H97" s="858" t="s">
        <v>448</v>
      </c>
      <c r="I97" s="858" t="s">
        <v>445</v>
      </c>
      <c r="J97" s="859" t="s">
        <v>315</v>
      </c>
      <c r="L97" s="745"/>
      <c r="M97" s="754"/>
      <c r="N97" s="745"/>
      <c r="O97" s="745"/>
      <c r="P97" s="745"/>
      <c r="Q97" s="745"/>
      <c r="R97" s="745"/>
    </row>
    <row r="98" spans="2:18" s="755" customFormat="1" x14ac:dyDescent="0.2">
      <c r="B98" s="958" t="s">
        <v>547</v>
      </c>
      <c r="C98" s="3008"/>
      <c r="D98" s="3056"/>
      <c r="E98" s="3009"/>
      <c r="F98" s="1090"/>
      <c r="G98" s="1510"/>
      <c r="H98" s="1073">
        <v>1</v>
      </c>
      <c r="I98" s="960">
        <f>IF(C98&lt;&gt;"",F98*H98,0)</f>
        <v>0</v>
      </c>
      <c r="J98" s="928">
        <f>I98/15</f>
        <v>0</v>
      </c>
      <c r="L98" s="754"/>
      <c r="M98" s="754">
        <f>IF(G98&lt;&gt;"",IF(AND(G98&gt;=$M$13,G98&lt;=$N$13),1,0),0)</f>
        <v>0</v>
      </c>
      <c r="N98" s="754"/>
      <c r="O98" s="754"/>
      <c r="P98" s="754"/>
      <c r="Q98" s="754"/>
      <c r="R98" s="754"/>
    </row>
    <row r="99" spans="2:18" s="755" customFormat="1" x14ac:dyDescent="0.2">
      <c r="B99" s="958" t="s">
        <v>548</v>
      </c>
      <c r="C99" s="3008"/>
      <c r="D99" s="3056"/>
      <c r="E99" s="3009"/>
      <c r="F99" s="1090"/>
      <c r="G99" s="1510"/>
      <c r="H99" s="1073">
        <v>1</v>
      </c>
      <c r="I99" s="960">
        <f t="shared" ref="I99:I102" si="27">IF(C99&lt;&gt;"",F99*H99,0)</f>
        <v>0</v>
      </c>
      <c r="J99" s="928">
        <f>I99/15</f>
        <v>0</v>
      </c>
      <c r="L99" s="754"/>
      <c r="M99" s="754">
        <f>IF(G99&lt;&gt;"",IF(AND(G99&gt;=$M$13,G99&lt;=$N$13),1,0),0)</f>
        <v>0</v>
      </c>
      <c r="N99" s="754"/>
      <c r="O99" s="754"/>
      <c r="P99" s="754"/>
      <c r="Q99" s="754"/>
      <c r="R99" s="754"/>
    </row>
    <row r="100" spans="2:18" s="755" customFormat="1" x14ac:dyDescent="0.2">
      <c r="B100" s="958" t="s">
        <v>549</v>
      </c>
      <c r="C100" s="3008"/>
      <c r="D100" s="3056"/>
      <c r="E100" s="3009"/>
      <c r="F100" s="1090"/>
      <c r="G100" s="1510"/>
      <c r="H100" s="1073">
        <v>1</v>
      </c>
      <c r="I100" s="960">
        <f t="shared" si="27"/>
        <v>0</v>
      </c>
      <c r="J100" s="928">
        <f>I100/15</f>
        <v>0</v>
      </c>
      <c r="L100" s="754"/>
      <c r="M100" s="754">
        <f>IF(G100&lt;&gt;"",IF(AND(G100&gt;=$M$13,G100&lt;=$N$13),1,0),0)</f>
        <v>0</v>
      </c>
      <c r="N100" s="754"/>
      <c r="O100" s="754"/>
      <c r="P100" s="754"/>
      <c r="Q100" s="754"/>
      <c r="R100" s="754"/>
    </row>
    <row r="101" spans="2:18" s="755" customFormat="1" x14ac:dyDescent="0.2">
      <c r="B101" s="958" t="s">
        <v>550</v>
      </c>
      <c r="C101" s="3008"/>
      <c r="D101" s="3056"/>
      <c r="E101" s="3009"/>
      <c r="F101" s="1090"/>
      <c r="G101" s="1510"/>
      <c r="H101" s="1073">
        <v>1</v>
      </c>
      <c r="I101" s="960">
        <f t="shared" si="27"/>
        <v>0</v>
      </c>
      <c r="J101" s="928">
        <f>I101/15</f>
        <v>0</v>
      </c>
      <c r="L101" s="754"/>
      <c r="M101" s="754">
        <f>IF(G101&lt;&gt;"",IF(AND(G101&gt;=$M$13,G101&lt;=$N$13),1,0),0)</f>
        <v>0</v>
      </c>
      <c r="N101" s="754"/>
      <c r="O101" s="754"/>
      <c r="P101" s="754"/>
      <c r="Q101" s="754"/>
      <c r="R101" s="754"/>
    </row>
    <row r="102" spans="2:18" s="755" customFormat="1" x14ac:dyDescent="0.2">
      <c r="B102" s="958" t="s">
        <v>551</v>
      </c>
      <c r="C102" s="3008"/>
      <c r="D102" s="3056"/>
      <c r="E102" s="3009"/>
      <c r="F102" s="1090"/>
      <c r="G102" s="1510"/>
      <c r="H102" s="1073">
        <v>1</v>
      </c>
      <c r="I102" s="960">
        <f t="shared" si="27"/>
        <v>0</v>
      </c>
      <c r="J102" s="928">
        <f>I102/15</f>
        <v>0</v>
      </c>
      <c r="L102" s="754"/>
      <c r="M102" s="754">
        <f>IF(G102&lt;&gt;"",IF(AND(G102&gt;=$M$13,G102&lt;=$N$13),1,0),0)</f>
        <v>0</v>
      </c>
      <c r="N102" s="754"/>
      <c r="O102" s="754"/>
      <c r="P102" s="754"/>
      <c r="Q102" s="754"/>
      <c r="R102" s="754"/>
    </row>
    <row r="103" spans="2:18" s="755" customFormat="1" x14ac:dyDescent="0.2">
      <c r="B103" s="1074"/>
      <c r="C103" s="866"/>
      <c r="D103" s="866"/>
      <c r="E103" s="1075"/>
      <c r="F103" s="1076"/>
      <c r="G103" s="1077">
        <f>SUM(M98:M102)</f>
        <v>0</v>
      </c>
      <c r="H103" s="867" t="s">
        <v>283</v>
      </c>
      <c r="I103" s="820">
        <f>SUM(I98:I102)</f>
        <v>0</v>
      </c>
      <c r="J103" s="821">
        <f>SUM(J98:J102)</f>
        <v>0</v>
      </c>
      <c r="L103" s="754"/>
      <c r="M103" s="754"/>
      <c r="N103" s="754"/>
      <c r="O103" s="754"/>
      <c r="P103" s="754"/>
      <c r="Q103" s="754"/>
      <c r="R103" s="754"/>
    </row>
    <row r="104" spans="2:18" s="842" customFormat="1" ht="12" customHeight="1" x14ac:dyDescent="0.2">
      <c r="B104" s="836"/>
      <c r="C104" s="837"/>
      <c r="D104" s="837"/>
      <c r="E104" s="837"/>
      <c r="F104" s="836"/>
      <c r="G104" s="836"/>
      <c r="H104" s="837"/>
      <c r="I104" s="967"/>
      <c r="J104" s="967"/>
      <c r="L104" s="840"/>
      <c r="M104" s="754"/>
      <c r="N104" s="840"/>
      <c r="O104" s="840"/>
      <c r="P104" s="840"/>
      <c r="Q104" s="840"/>
      <c r="R104" s="840"/>
    </row>
    <row r="105" spans="2:18" s="842" customFormat="1" ht="12" customHeight="1" x14ac:dyDescent="0.2">
      <c r="B105" s="968"/>
      <c r="C105" s="1092"/>
      <c r="D105" s="1092"/>
      <c r="E105" s="1092"/>
      <c r="F105" s="968"/>
      <c r="G105" s="968"/>
      <c r="H105" s="1092"/>
      <c r="I105" s="981"/>
      <c r="J105" s="981"/>
      <c r="L105" s="840"/>
      <c r="M105" s="754"/>
      <c r="N105" s="840"/>
      <c r="O105" s="840"/>
      <c r="P105" s="840"/>
      <c r="Q105" s="840"/>
      <c r="R105" s="840"/>
    </row>
    <row r="106" spans="2:18" s="682" customFormat="1" ht="21" customHeight="1" x14ac:dyDescent="0.25">
      <c r="B106" s="710" t="s">
        <v>734</v>
      </c>
      <c r="C106" s="1066"/>
      <c r="D106" s="1066"/>
      <c r="E106" s="712"/>
      <c r="F106" s="714"/>
      <c r="G106" s="714"/>
      <c r="H106" s="714"/>
      <c r="I106" s="714"/>
      <c r="J106" s="1067"/>
      <c r="L106" s="685"/>
      <c r="M106" s="754"/>
      <c r="N106" s="685"/>
      <c r="O106" s="685"/>
      <c r="P106" s="685"/>
      <c r="Q106" s="685"/>
      <c r="R106" s="685"/>
    </row>
    <row r="107" spans="2:18" s="736" customFormat="1" x14ac:dyDescent="0.2">
      <c r="B107" s="809"/>
      <c r="C107" s="3030" t="s">
        <v>733</v>
      </c>
      <c r="D107" s="3031"/>
      <c r="E107" s="3031"/>
      <c r="F107" s="3032"/>
      <c r="G107" s="810" t="s">
        <v>724</v>
      </c>
      <c r="H107" s="1068" t="s">
        <v>442</v>
      </c>
      <c r="I107" s="1069" t="s">
        <v>443</v>
      </c>
      <c r="J107" s="1070" t="s">
        <v>443</v>
      </c>
      <c r="L107" s="734"/>
      <c r="M107" s="754"/>
      <c r="N107" s="734"/>
      <c r="O107" s="734"/>
      <c r="P107" s="734"/>
      <c r="Q107" s="734"/>
      <c r="R107" s="734"/>
    </row>
    <row r="108" spans="2:18" s="747" customFormat="1" x14ac:dyDescent="0.2">
      <c r="B108" s="849"/>
      <c r="C108" s="3137"/>
      <c r="D108" s="3138"/>
      <c r="E108" s="3138"/>
      <c r="F108" s="1099"/>
      <c r="G108" s="1100" t="s">
        <v>1018</v>
      </c>
      <c r="H108" s="1101" t="s">
        <v>448</v>
      </c>
      <c r="I108" s="1101" t="s">
        <v>445</v>
      </c>
      <c r="J108" s="1102" t="s">
        <v>315</v>
      </c>
      <c r="L108" s="745"/>
      <c r="M108" s="754"/>
      <c r="N108" s="745"/>
      <c r="O108" s="745"/>
      <c r="P108" s="745"/>
      <c r="Q108" s="745"/>
      <c r="R108" s="745"/>
    </row>
    <row r="109" spans="2:18" s="755" customFormat="1" x14ac:dyDescent="0.2">
      <c r="B109" s="958" t="s">
        <v>547</v>
      </c>
      <c r="C109" s="3008"/>
      <c r="D109" s="3056"/>
      <c r="E109" s="3056"/>
      <c r="F109" s="3009"/>
      <c r="G109" s="1508"/>
      <c r="H109" s="1073">
        <v>5</v>
      </c>
      <c r="I109" s="960">
        <f>IF(C109&lt;&gt;"",H109,0)</f>
        <v>0</v>
      </c>
      <c r="J109" s="928">
        <f>I109/15</f>
        <v>0</v>
      </c>
      <c r="L109" s="754"/>
      <c r="M109" s="754">
        <f>IF(G109&lt;&gt;"",IF(AND(G109&gt;=$M$13,G109&lt;=$N$13),1,0),0)</f>
        <v>0</v>
      </c>
      <c r="N109" s="754"/>
      <c r="O109" s="754"/>
      <c r="P109" s="754"/>
      <c r="Q109" s="754"/>
      <c r="R109" s="754"/>
    </row>
    <row r="110" spans="2:18" s="755" customFormat="1" x14ac:dyDescent="0.2">
      <c r="B110" s="958" t="s">
        <v>548</v>
      </c>
      <c r="C110" s="3008"/>
      <c r="D110" s="3056"/>
      <c r="E110" s="3056"/>
      <c r="F110" s="3009"/>
      <c r="G110" s="1508"/>
      <c r="H110" s="1073">
        <v>5</v>
      </c>
      <c r="I110" s="960">
        <f>IF(C110&lt;&gt;"",H110,0)</f>
        <v>0</v>
      </c>
      <c r="J110" s="928">
        <f>I110/15</f>
        <v>0</v>
      </c>
      <c r="L110" s="754"/>
      <c r="M110" s="754">
        <f>IF(G110&lt;&gt;"",IF(AND(G110&gt;=$M$13,G110&lt;=$N$13),1,0),0)</f>
        <v>0</v>
      </c>
      <c r="N110" s="754"/>
      <c r="O110" s="754"/>
      <c r="P110" s="754"/>
      <c r="Q110" s="754"/>
      <c r="R110" s="754"/>
    </row>
    <row r="111" spans="2:18" s="755" customFormat="1" x14ac:dyDescent="0.2">
      <c r="B111" s="958" t="s">
        <v>549</v>
      </c>
      <c r="C111" s="3008"/>
      <c r="D111" s="3056"/>
      <c r="E111" s="3056"/>
      <c r="F111" s="3009"/>
      <c r="G111" s="1508"/>
      <c r="H111" s="1073">
        <v>5</v>
      </c>
      <c r="I111" s="960">
        <f>IF(C111&lt;&gt;"",H111,0)</f>
        <v>0</v>
      </c>
      <c r="J111" s="928">
        <f>I111/15</f>
        <v>0</v>
      </c>
      <c r="L111" s="754"/>
      <c r="M111" s="754">
        <f>IF(G111&lt;&gt;"",IF(AND(G111&gt;=$M$13,G111&lt;=$N$13),1,0),0)</f>
        <v>0</v>
      </c>
      <c r="N111" s="754"/>
      <c r="O111" s="754"/>
      <c r="P111" s="754"/>
      <c r="Q111" s="754"/>
      <c r="R111" s="754"/>
    </row>
    <row r="112" spans="2:18" s="755" customFormat="1" x14ac:dyDescent="0.2">
      <c r="B112" s="958" t="s">
        <v>550</v>
      </c>
      <c r="C112" s="3008"/>
      <c r="D112" s="3056"/>
      <c r="E112" s="3056"/>
      <c r="F112" s="3009"/>
      <c r="G112" s="1508"/>
      <c r="H112" s="1073">
        <v>5</v>
      </c>
      <c r="I112" s="960">
        <f>IF(C112&lt;&gt;"",H112,0)</f>
        <v>0</v>
      </c>
      <c r="J112" s="928">
        <f>I112/15</f>
        <v>0</v>
      </c>
      <c r="L112" s="754"/>
      <c r="M112" s="754">
        <f>IF(G112&lt;&gt;"",IF(AND(G112&gt;=$M$13,G112&lt;=$N$13),1,0),0)</f>
        <v>0</v>
      </c>
      <c r="N112" s="754"/>
      <c r="O112" s="754"/>
      <c r="P112" s="754"/>
      <c r="Q112" s="754"/>
      <c r="R112" s="754"/>
    </row>
    <row r="113" spans="2:18" s="755" customFormat="1" x14ac:dyDescent="0.2">
      <c r="B113" s="958" t="s">
        <v>551</v>
      </c>
      <c r="C113" s="3008"/>
      <c r="D113" s="3056"/>
      <c r="E113" s="3056"/>
      <c r="F113" s="3009"/>
      <c r="G113" s="1508"/>
      <c r="H113" s="1073">
        <v>5</v>
      </c>
      <c r="I113" s="960">
        <f>IF(C113&lt;&gt;"",H113,0)</f>
        <v>0</v>
      </c>
      <c r="J113" s="928">
        <f>I113/15</f>
        <v>0</v>
      </c>
      <c r="L113" s="754"/>
      <c r="M113" s="754">
        <f>IF(G113&lt;&gt;"",IF(AND(G113&gt;=$M$13,G113&lt;=$N$13),1,0),0)</f>
        <v>0</v>
      </c>
      <c r="N113" s="754"/>
      <c r="O113" s="754"/>
      <c r="P113" s="754"/>
      <c r="Q113" s="754"/>
      <c r="R113" s="754"/>
    </row>
    <row r="114" spans="2:18" s="755" customFormat="1" x14ac:dyDescent="0.2">
      <c r="B114" s="1074"/>
      <c r="C114" s="866"/>
      <c r="D114" s="866"/>
      <c r="E114" s="1075"/>
      <c r="F114" s="1076"/>
      <c r="G114" s="1077">
        <f>SUM(M109:M112)</f>
        <v>0</v>
      </c>
      <c r="H114" s="867" t="s">
        <v>283</v>
      </c>
      <c r="I114" s="820">
        <f>SUM(I109:I113)</f>
        <v>0</v>
      </c>
      <c r="J114" s="821">
        <f>SUM(J109:J113)</f>
        <v>0</v>
      </c>
      <c r="L114" s="754"/>
      <c r="M114" s="754"/>
      <c r="N114" s="754"/>
      <c r="O114" s="754"/>
      <c r="P114" s="754"/>
      <c r="Q114" s="754"/>
      <c r="R114" s="754"/>
    </row>
    <row r="115" spans="2:18" s="842" customFormat="1" ht="12" customHeight="1" x14ac:dyDescent="0.2">
      <c r="B115" s="836"/>
      <c r="C115" s="837"/>
      <c r="D115" s="837"/>
      <c r="E115" s="837"/>
      <c r="F115" s="836"/>
      <c r="G115" s="836"/>
      <c r="H115" s="837"/>
      <c r="I115" s="967"/>
      <c r="J115" s="967"/>
      <c r="L115" s="840"/>
      <c r="M115" s="754"/>
      <c r="N115" s="840"/>
      <c r="O115" s="840"/>
      <c r="P115" s="840"/>
      <c r="Q115" s="840"/>
      <c r="R115" s="840"/>
    </row>
    <row r="116" spans="2:18" s="872" customFormat="1" ht="12" customHeight="1" x14ac:dyDescent="0.2">
      <c r="B116" s="968"/>
      <c r="C116" s="1092"/>
      <c r="D116" s="1092"/>
      <c r="E116" s="1092"/>
      <c r="F116" s="968"/>
      <c r="G116" s="968"/>
      <c r="H116" s="1092"/>
      <c r="I116" s="981"/>
      <c r="J116" s="981"/>
      <c r="L116" s="1103"/>
      <c r="M116" s="900"/>
      <c r="N116" s="1103"/>
      <c r="O116" s="1103"/>
      <c r="P116" s="1103"/>
      <c r="Q116" s="1103"/>
      <c r="R116" s="1103"/>
    </row>
    <row r="117" spans="2:18" s="682" customFormat="1" ht="21" customHeight="1" x14ac:dyDescent="0.25">
      <c r="B117" s="710" t="s">
        <v>735</v>
      </c>
      <c r="C117" s="1066"/>
      <c r="D117" s="1066"/>
      <c r="E117" s="712"/>
      <c r="F117" s="714"/>
      <c r="G117" s="714"/>
      <c r="H117" s="714"/>
      <c r="I117" s="714"/>
      <c r="J117" s="1067"/>
      <c r="L117" s="685"/>
      <c r="M117" s="754"/>
      <c r="N117" s="685"/>
      <c r="O117" s="685"/>
      <c r="P117" s="685"/>
      <c r="Q117" s="685"/>
      <c r="R117" s="685"/>
    </row>
    <row r="118" spans="2:18" s="725" customFormat="1" ht="20.25" customHeight="1" x14ac:dyDescent="0.2">
      <c r="B118" s="970" t="s">
        <v>736</v>
      </c>
      <c r="C118" s="1104"/>
      <c r="D118" s="1104"/>
      <c r="E118" s="982"/>
      <c r="F118" s="983"/>
      <c r="G118" s="983"/>
      <c r="H118" s="983"/>
      <c r="I118" s="983"/>
      <c r="J118" s="985"/>
      <c r="L118" s="723"/>
      <c r="M118" s="754"/>
      <c r="N118" s="723"/>
      <c r="O118" s="723"/>
      <c r="P118" s="723"/>
      <c r="Q118" s="723"/>
      <c r="R118" s="723"/>
    </row>
    <row r="119" spans="2:18" s="736" customFormat="1" x14ac:dyDescent="0.2">
      <c r="B119" s="809"/>
      <c r="C119" s="3030" t="s">
        <v>667</v>
      </c>
      <c r="D119" s="3032"/>
      <c r="E119" s="810" t="s">
        <v>737</v>
      </c>
      <c r="F119" s="1003" t="s">
        <v>738</v>
      </c>
      <c r="G119" s="810" t="s">
        <v>724</v>
      </c>
      <c r="H119" s="1068" t="s">
        <v>442</v>
      </c>
      <c r="I119" s="1069" t="s">
        <v>443</v>
      </c>
      <c r="J119" s="1070" t="s">
        <v>443</v>
      </c>
      <c r="L119" s="734"/>
      <c r="M119" s="754"/>
      <c r="N119" s="734"/>
      <c r="O119" s="734"/>
      <c r="P119" s="734"/>
      <c r="Q119" s="734"/>
      <c r="R119" s="734"/>
    </row>
    <row r="120" spans="2:18" s="747" customFormat="1" x14ac:dyDescent="0.2">
      <c r="B120" s="737"/>
      <c r="C120" s="3143"/>
      <c r="D120" s="3144"/>
      <c r="E120" s="906" t="s">
        <v>629</v>
      </c>
      <c r="F120" s="906"/>
      <c r="G120" s="1100" t="s">
        <v>1018</v>
      </c>
      <c r="H120" s="858" t="s">
        <v>448</v>
      </c>
      <c r="I120" s="858" t="s">
        <v>445</v>
      </c>
      <c r="J120" s="859" t="s">
        <v>315</v>
      </c>
      <c r="L120" s="745"/>
      <c r="M120" s="754"/>
      <c r="N120" s="745"/>
      <c r="O120" s="745"/>
      <c r="P120" s="745"/>
      <c r="Q120" s="745"/>
      <c r="R120" s="745"/>
    </row>
    <row r="121" spans="2:18" s="755" customFormat="1" x14ac:dyDescent="0.2">
      <c r="B121" s="1105" t="s">
        <v>547</v>
      </c>
      <c r="C121" s="3139"/>
      <c r="D121" s="3141"/>
      <c r="E121" s="1006"/>
      <c r="F121" s="1106"/>
      <c r="G121" s="1514"/>
      <c r="H121" s="1073">
        <f t="shared" ref="H121:H130" si="28">IF(E121="",0,IF(E121="ระดับชาติ",4,IF(E121="ระดับนานาชาติ",5,0)))</f>
        <v>0</v>
      </c>
      <c r="I121" s="960">
        <f>IF(F121&gt;=1,F121*H121,0)</f>
        <v>0</v>
      </c>
      <c r="J121" s="928">
        <f t="shared" ref="J121:J130" si="29">I121/15</f>
        <v>0</v>
      </c>
      <c r="L121" s="754"/>
      <c r="M121" s="754">
        <f t="shared" ref="M121:M130" si="30">IF(G121&lt;&gt;"",IF(AND(G121&gt;=$M$13,G121&lt;=$N$13),1,0),0)</f>
        <v>0</v>
      </c>
      <c r="N121" s="754"/>
      <c r="O121" s="754"/>
      <c r="P121" s="754"/>
      <c r="Q121" s="754"/>
      <c r="R121" s="754"/>
    </row>
    <row r="122" spans="2:18" s="755" customFormat="1" x14ac:dyDescent="0.2">
      <c r="B122" s="1105" t="s">
        <v>548</v>
      </c>
      <c r="C122" s="3139"/>
      <c r="D122" s="3141"/>
      <c r="E122" s="1006"/>
      <c r="F122" s="1106"/>
      <c r="G122" s="1514"/>
      <c r="H122" s="1073">
        <f t="shared" si="28"/>
        <v>0</v>
      </c>
      <c r="I122" s="960">
        <f t="shared" ref="I122:I130" si="31">IF(F122&gt;=1,F122*H122,0)</f>
        <v>0</v>
      </c>
      <c r="J122" s="928">
        <f t="shared" si="29"/>
        <v>0</v>
      </c>
      <c r="L122" s="754"/>
      <c r="M122" s="754">
        <f t="shared" si="30"/>
        <v>0</v>
      </c>
      <c r="N122" s="754"/>
      <c r="O122" s="754"/>
      <c r="P122" s="754"/>
      <c r="Q122" s="754"/>
      <c r="R122" s="754"/>
    </row>
    <row r="123" spans="2:18" s="755" customFormat="1" x14ac:dyDescent="0.2">
      <c r="B123" s="1105" t="s">
        <v>549</v>
      </c>
      <c r="C123" s="3139"/>
      <c r="D123" s="3141"/>
      <c r="E123" s="1006"/>
      <c r="F123" s="1106"/>
      <c r="G123" s="1514"/>
      <c r="H123" s="1073">
        <f t="shared" si="28"/>
        <v>0</v>
      </c>
      <c r="I123" s="960">
        <f t="shared" si="31"/>
        <v>0</v>
      </c>
      <c r="J123" s="928">
        <f t="shared" si="29"/>
        <v>0</v>
      </c>
      <c r="L123" s="754"/>
      <c r="M123" s="754">
        <f t="shared" si="30"/>
        <v>0</v>
      </c>
      <c r="N123" s="754"/>
      <c r="O123" s="754"/>
      <c r="P123" s="754"/>
      <c r="Q123" s="754"/>
      <c r="R123" s="754"/>
    </row>
    <row r="124" spans="2:18" s="755" customFormat="1" x14ac:dyDescent="0.2">
      <c r="B124" s="1105" t="s">
        <v>550</v>
      </c>
      <c r="C124" s="3139"/>
      <c r="D124" s="3141"/>
      <c r="E124" s="1006"/>
      <c r="F124" s="1106"/>
      <c r="G124" s="1514"/>
      <c r="H124" s="1073">
        <f t="shared" si="28"/>
        <v>0</v>
      </c>
      <c r="I124" s="960">
        <f t="shared" si="31"/>
        <v>0</v>
      </c>
      <c r="J124" s="928">
        <f t="shared" si="29"/>
        <v>0</v>
      </c>
      <c r="L124" s="754"/>
      <c r="M124" s="754">
        <f t="shared" si="30"/>
        <v>0</v>
      </c>
      <c r="N124" s="754"/>
      <c r="O124" s="754"/>
      <c r="P124" s="754"/>
      <c r="Q124" s="754"/>
      <c r="R124" s="754"/>
    </row>
    <row r="125" spans="2:18" s="755" customFormat="1" x14ac:dyDescent="0.2">
      <c r="B125" s="1105" t="s">
        <v>551</v>
      </c>
      <c r="C125" s="3139"/>
      <c r="D125" s="3141"/>
      <c r="E125" s="1006"/>
      <c r="F125" s="1106"/>
      <c r="G125" s="1514"/>
      <c r="H125" s="1073">
        <f t="shared" si="28"/>
        <v>0</v>
      </c>
      <c r="I125" s="960">
        <f t="shared" si="31"/>
        <v>0</v>
      </c>
      <c r="J125" s="928">
        <f t="shared" si="29"/>
        <v>0</v>
      </c>
      <c r="L125" s="754"/>
      <c r="M125" s="754">
        <f t="shared" si="30"/>
        <v>0</v>
      </c>
      <c r="N125" s="754"/>
      <c r="O125" s="754"/>
      <c r="P125" s="754"/>
      <c r="Q125" s="754"/>
      <c r="R125" s="754"/>
    </row>
    <row r="126" spans="2:18" s="755" customFormat="1" x14ac:dyDescent="0.2">
      <c r="B126" s="1105" t="s">
        <v>552</v>
      </c>
      <c r="C126" s="3139"/>
      <c r="D126" s="3141"/>
      <c r="E126" s="1006"/>
      <c r="F126" s="1106"/>
      <c r="G126" s="1514"/>
      <c r="H126" s="1073">
        <f t="shared" si="28"/>
        <v>0</v>
      </c>
      <c r="I126" s="960">
        <f t="shared" si="31"/>
        <v>0</v>
      </c>
      <c r="J126" s="928">
        <f t="shared" si="29"/>
        <v>0</v>
      </c>
      <c r="L126" s="754"/>
      <c r="M126" s="754">
        <f t="shared" si="30"/>
        <v>0</v>
      </c>
      <c r="N126" s="754"/>
      <c r="O126" s="754"/>
      <c r="P126" s="754"/>
      <c r="Q126" s="754"/>
      <c r="R126" s="754"/>
    </row>
    <row r="127" spans="2:18" s="755" customFormat="1" x14ac:dyDescent="0.2">
      <c r="B127" s="1105" t="s">
        <v>553</v>
      </c>
      <c r="C127" s="3139"/>
      <c r="D127" s="3141"/>
      <c r="E127" s="1006"/>
      <c r="F127" s="1106"/>
      <c r="G127" s="1514"/>
      <c r="H127" s="1073">
        <f t="shared" si="28"/>
        <v>0</v>
      </c>
      <c r="I127" s="960">
        <f t="shared" si="31"/>
        <v>0</v>
      </c>
      <c r="J127" s="928">
        <f t="shared" si="29"/>
        <v>0</v>
      </c>
      <c r="L127" s="754"/>
      <c r="M127" s="754">
        <f t="shared" si="30"/>
        <v>0</v>
      </c>
      <c r="N127" s="754"/>
      <c r="O127" s="754"/>
      <c r="P127" s="754"/>
      <c r="Q127" s="754"/>
      <c r="R127" s="754"/>
    </row>
    <row r="128" spans="2:18" s="755" customFormat="1" x14ac:dyDescent="0.2">
      <c r="B128" s="1105" t="s">
        <v>554</v>
      </c>
      <c r="C128" s="3139"/>
      <c r="D128" s="3141"/>
      <c r="E128" s="1006"/>
      <c r="F128" s="1106"/>
      <c r="G128" s="1514"/>
      <c r="H128" s="1073">
        <f t="shared" si="28"/>
        <v>0</v>
      </c>
      <c r="I128" s="960">
        <f t="shared" si="31"/>
        <v>0</v>
      </c>
      <c r="J128" s="928">
        <f t="shared" si="29"/>
        <v>0</v>
      </c>
      <c r="L128" s="754"/>
      <c r="M128" s="754">
        <f t="shared" si="30"/>
        <v>0</v>
      </c>
      <c r="N128" s="754"/>
      <c r="O128" s="754"/>
      <c r="P128" s="754"/>
      <c r="Q128" s="754"/>
      <c r="R128" s="754"/>
    </row>
    <row r="129" spans="2:18" s="755" customFormat="1" x14ac:dyDescent="0.2">
      <c r="B129" s="1105" t="s">
        <v>721</v>
      </c>
      <c r="C129" s="3139"/>
      <c r="D129" s="3141"/>
      <c r="E129" s="1006"/>
      <c r="F129" s="1106"/>
      <c r="G129" s="1514"/>
      <c r="H129" s="1073">
        <f t="shared" si="28"/>
        <v>0</v>
      </c>
      <c r="I129" s="960">
        <f t="shared" si="31"/>
        <v>0</v>
      </c>
      <c r="J129" s="928">
        <f t="shared" si="29"/>
        <v>0</v>
      </c>
      <c r="L129" s="754"/>
      <c r="M129" s="754">
        <f t="shared" si="30"/>
        <v>0</v>
      </c>
      <c r="N129" s="754"/>
      <c r="O129" s="754"/>
      <c r="P129" s="754"/>
      <c r="Q129" s="754"/>
      <c r="R129" s="754"/>
    </row>
    <row r="130" spans="2:18" s="755" customFormat="1" x14ac:dyDescent="0.2">
      <c r="B130" s="1105" t="s">
        <v>722</v>
      </c>
      <c r="C130" s="3139"/>
      <c r="D130" s="3141"/>
      <c r="E130" s="1006"/>
      <c r="F130" s="1106"/>
      <c r="G130" s="1514"/>
      <c r="H130" s="1073">
        <f t="shared" si="28"/>
        <v>0</v>
      </c>
      <c r="I130" s="960">
        <f t="shared" si="31"/>
        <v>0</v>
      </c>
      <c r="J130" s="928">
        <f t="shared" si="29"/>
        <v>0</v>
      </c>
      <c r="L130" s="754"/>
      <c r="M130" s="754">
        <f t="shared" si="30"/>
        <v>0</v>
      </c>
      <c r="N130" s="754"/>
      <c r="O130" s="754"/>
      <c r="P130" s="754"/>
      <c r="Q130" s="754"/>
      <c r="R130" s="754"/>
    </row>
    <row r="131" spans="2:18" s="755" customFormat="1" x14ac:dyDescent="0.2">
      <c r="B131" s="1074"/>
      <c r="C131" s="866"/>
      <c r="D131" s="866"/>
      <c r="E131" s="1075"/>
      <c r="F131" s="1076"/>
      <c r="G131" s="1077">
        <f>SUM(M121:M130)</f>
        <v>0</v>
      </c>
      <c r="H131" s="867" t="s">
        <v>283</v>
      </c>
      <c r="I131" s="820">
        <f>SUM(I121:I130)</f>
        <v>0</v>
      </c>
      <c r="J131" s="821">
        <f>SUM(J121:J130)</f>
        <v>0</v>
      </c>
      <c r="L131" s="754"/>
      <c r="M131" s="754"/>
      <c r="N131" s="754"/>
      <c r="O131" s="754"/>
      <c r="P131" s="754"/>
      <c r="Q131" s="754"/>
      <c r="R131" s="754"/>
    </row>
    <row r="132" spans="2:18" s="842" customFormat="1" ht="5.25" customHeight="1" x14ac:dyDescent="0.2">
      <c r="B132" s="1107"/>
      <c r="C132" s="1085"/>
      <c r="D132" s="1085"/>
      <c r="E132" s="1085"/>
      <c r="F132" s="1086"/>
      <c r="G132" s="1086"/>
      <c r="H132" s="1088"/>
      <c r="I132" s="1089"/>
      <c r="J132" s="1108"/>
      <c r="L132" s="840"/>
      <c r="M132" s="754"/>
      <c r="N132" s="840"/>
      <c r="O132" s="840"/>
      <c r="P132" s="840"/>
      <c r="Q132" s="840"/>
      <c r="R132" s="840"/>
    </row>
    <row r="133" spans="2:18" s="725" customFormat="1" ht="20.25" customHeight="1" x14ac:dyDescent="0.2">
      <c r="B133" s="970" t="s">
        <v>739</v>
      </c>
      <c r="C133" s="1104"/>
      <c r="D133" s="1104"/>
      <c r="E133" s="982"/>
      <c r="F133" s="983"/>
      <c r="G133" s="983"/>
      <c r="H133" s="983"/>
      <c r="I133" s="983"/>
      <c r="J133" s="985"/>
      <c r="L133" s="723"/>
      <c r="M133" s="754"/>
      <c r="N133" s="723"/>
      <c r="O133" s="723"/>
      <c r="P133" s="723"/>
      <c r="Q133" s="723"/>
      <c r="R133" s="723"/>
    </row>
    <row r="134" spans="2:18" s="736" customFormat="1" x14ac:dyDescent="0.2">
      <c r="B134" s="809"/>
      <c r="C134" s="3030" t="s">
        <v>676</v>
      </c>
      <c r="D134" s="3031"/>
      <c r="E134" s="3032"/>
      <c r="F134" s="1109" t="s">
        <v>740</v>
      </c>
      <c r="G134" s="810" t="s">
        <v>724</v>
      </c>
      <c r="H134" s="1068" t="s">
        <v>442</v>
      </c>
      <c r="I134" s="1069" t="s">
        <v>443</v>
      </c>
      <c r="J134" s="1070" t="s">
        <v>443</v>
      </c>
      <c r="L134" s="734"/>
      <c r="M134" s="754"/>
      <c r="N134" s="734"/>
      <c r="O134" s="734"/>
      <c r="P134" s="734"/>
      <c r="Q134" s="734"/>
      <c r="R134" s="734"/>
    </row>
    <row r="135" spans="2:18" s="747" customFormat="1" x14ac:dyDescent="0.2">
      <c r="B135" s="849"/>
      <c r="C135" s="1110"/>
      <c r="D135" s="1098"/>
      <c r="E135" s="1111"/>
      <c r="F135" s="1112" t="s">
        <v>741</v>
      </c>
      <c r="G135" s="1100" t="s">
        <v>1018</v>
      </c>
      <c r="H135" s="1101" t="s">
        <v>448</v>
      </c>
      <c r="I135" s="1101" t="s">
        <v>445</v>
      </c>
      <c r="J135" s="1102" t="s">
        <v>315</v>
      </c>
      <c r="L135" s="745"/>
      <c r="M135" s="754"/>
      <c r="N135" s="745"/>
      <c r="O135" s="745"/>
      <c r="P135" s="745"/>
      <c r="Q135" s="745"/>
      <c r="R135" s="745"/>
    </row>
    <row r="136" spans="2:18" s="747" customFormat="1" x14ac:dyDescent="0.2">
      <c r="B136" s="737"/>
      <c r="C136" s="738"/>
      <c r="D136" s="1071"/>
      <c r="E136" s="1113"/>
      <c r="F136" s="906" t="s">
        <v>629</v>
      </c>
      <c r="G136" s="906"/>
      <c r="H136" s="858"/>
      <c r="I136" s="858"/>
      <c r="J136" s="859"/>
      <c r="L136" s="745"/>
      <c r="M136" s="754"/>
      <c r="N136" s="745"/>
      <c r="O136" s="745"/>
      <c r="P136" s="745"/>
      <c r="Q136" s="745"/>
      <c r="R136" s="745"/>
    </row>
    <row r="137" spans="2:18" s="755" customFormat="1" x14ac:dyDescent="0.2">
      <c r="B137" s="958" t="s">
        <v>547</v>
      </c>
      <c r="C137" s="3008"/>
      <c r="D137" s="3056"/>
      <c r="E137" s="3009"/>
      <c r="F137" s="1006"/>
      <c r="G137" s="1515"/>
      <c r="H137" s="1073">
        <f t="shared" ref="H137:H156" si="32">IF(F137="",0,IF(F137="ระดับชาติ",4,IF(F137="ระดับนานาชาติ",5,0)))</f>
        <v>0</v>
      </c>
      <c r="I137" s="960">
        <f t="shared" ref="I137:I156" si="33">IF(C137&lt;&gt;"",H137,0)</f>
        <v>0</v>
      </c>
      <c r="J137" s="928">
        <f t="shared" ref="J137:J156" si="34">I137/15</f>
        <v>0</v>
      </c>
      <c r="L137" s="754"/>
      <c r="M137" s="754">
        <f t="shared" ref="M137:M156" si="35">IF(G137&lt;&gt;"",IF(AND(G137&gt;=$M$13,G137&lt;=$N$13),1,0),0)</f>
        <v>0</v>
      </c>
      <c r="N137" s="754"/>
      <c r="O137" s="754"/>
      <c r="P137" s="754"/>
      <c r="Q137" s="754"/>
      <c r="R137" s="754"/>
    </row>
    <row r="138" spans="2:18" s="755" customFormat="1" x14ac:dyDescent="0.2">
      <c r="B138" s="958" t="s">
        <v>548</v>
      </c>
      <c r="C138" s="3008"/>
      <c r="D138" s="3056"/>
      <c r="E138" s="3009"/>
      <c r="F138" s="1006"/>
      <c r="G138" s="1515"/>
      <c r="H138" s="1073">
        <f t="shared" si="32"/>
        <v>0</v>
      </c>
      <c r="I138" s="960">
        <f t="shared" si="33"/>
        <v>0</v>
      </c>
      <c r="J138" s="928">
        <f t="shared" si="34"/>
        <v>0</v>
      </c>
      <c r="L138" s="754"/>
      <c r="M138" s="754">
        <f t="shared" si="35"/>
        <v>0</v>
      </c>
      <c r="N138" s="754"/>
      <c r="O138" s="754"/>
      <c r="P138" s="754"/>
      <c r="Q138" s="754"/>
      <c r="R138" s="754"/>
    </row>
    <row r="139" spans="2:18" s="755" customFormat="1" x14ac:dyDescent="0.2">
      <c r="B139" s="958" t="s">
        <v>549</v>
      </c>
      <c r="C139" s="3008"/>
      <c r="D139" s="3056"/>
      <c r="E139" s="3009"/>
      <c r="F139" s="1006"/>
      <c r="G139" s="1515"/>
      <c r="H139" s="1073">
        <f t="shared" si="32"/>
        <v>0</v>
      </c>
      <c r="I139" s="960">
        <f t="shared" si="33"/>
        <v>0</v>
      </c>
      <c r="J139" s="928">
        <f t="shared" si="34"/>
        <v>0</v>
      </c>
      <c r="L139" s="754"/>
      <c r="M139" s="754">
        <f t="shared" si="35"/>
        <v>0</v>
      </c>
      <c r="N139" s="754"/>
      <c r="O139" s="754"/>
      <c r="P139" s="754"/>
      <c r="Q139" s="754"/>
      <c r="R139" s="754"/>
    </row>
    <row r="140" spans="2:18" s="755" customFormat="1" x14ac:dyDescent="0.2">
      <c r="B140" s="958" t="s">
        <v>550</v>
      </c>
      <c r="C140" s="3008"/>
      <c r="D140" s="3056"/>
      <c r="E140" s="3009"/>
      <c r="F140" s="1006"/>
      <c r="G140" s="1515"/>
      <c r="H140" s="1073">
        <f t="shared" si="32"/>
        <v>0</v>
      </c>
      <c r="I140" s="960">
        <f t="shared" si="33"/>
        <v>0</v>
      </c>
      <c r="J140" s="928">
        <f t="shared" si="34"/>
        <v>0</v>
      </c>
      <c r="L140" s="754"/>
      <c r="M140" s="754">
        <f t="shared" si="35"/>
        <v>0</v>
      </c>
      <c r="N140" s="754"/>
      <c r="O140" s="754"/>
      <c r="P140" s="754"/>
      <c r="Q140" s="754"/>
      <c r="R140" s="754"/>
    </row>
    <row r="141" spans="2:18" s="755" customFormat="1" x14ac:dyDescent="0.2">
      <c r="B141" s="958" t="s">
        <v>551</v>
      </c>
      <c r="C141" s="3008"/>
      <c r="D141" s="3056"/>
      <c r="E141" s="3009"/>
      <c r="F141" s="1006"/>
      <c r="G141" s="1515"/>
      <c r="H141" s="1073">
        <f t="shared" si="32"/>
        <v>0</v>
      </c>
      <c r="I141" s="960">
        <f t="shared" si="33"/>
        <v>0</v>
      </c>
      <c r="J141" s="928">
        <f t="shared" si="34"/>
        <v>0</v>
      </c>
      <c r="L141" s="754"/>
      <c r="M141" s="754">
        <f t="shared" si="35"/>
        <v>0</v>
      </c>
      <c r="N141" s="754"/>
      <c r="O141" s="754"/>
      <c r="P141" s="754"/>
      <c r="Q141" s="754"/>
      <c r="R141" s="754"/>
    </row>
    <row r="142" spans="2:18" s="755" customFormat="1" x14ac:dyDescent="0.2">
      <c r="B142" s="958" t="s">
        <v>552</v>
      </c>
      <c r="C142" s="3008"/>
      <c r="D142" s="3056"/>
      <c r="E142" s="3009"/>
      <c r="F142" s="1006"/>
      <c r="G142" s="1515"/>
      <c r="H142" s="1073">
        <f t="shared" si="32"/>
        <v>0</v>
      </c>
      <c r="I142" s="960">
        <f t="shared" si="33"/>
        <v>0</v>
      </c>
      <c r="J142" s="928">
        <f t="shared" si="34"/>
        <v>0</v>
      </c>
      <c r="L142" s="754"/>
      <c r="M142" s="754">
        <f t="shared" si="35"/>
        <v>0</v>
      </c>
      <c r="N142" s="754"/>
      <c r="O142" s="754"/>
      <c r="P142" s="754"/>
      <c r="Q142" s="754"/>
      <c r="R142" s="754"/>
    </row>
    <row r="143" spans="2:18" s="755" customFormat="1" x14ac:dyDescent="0.2">
      <c r="B143" s="958" t="s">
        <v>553</v>
      </c>
      <c r="C143" s="3008"/>
      <c r="D143" s="3056"/>
      <c r="E143" s="3009"/>
      <c r="F143" s="1006"/>
      <c r="G143" s="1515"/>
      <c r="H143" s="1073">
        <f t="shared" si="32"/>
        <v>0</v>
      </c>
      <c r="I143" s="960">
        <f t="shared" si="33"/>
        <v>0</v>
      </c>
      <c r="J143" s="928">
        <f t="shared" si="34"/>
        <v>0</v>
      </c>
      <c r="L143" s="754"/>
      <c r="M143" s="754">
        <f t="shared" si="35"/>
        <v>0</v>
      </c>
      <c r="N143" s="754"/>
      <c r="O143" s="754"/>
      <c r="P143" s="754"/>
      <c r="Q143" s="754"/>
      <c r="R143" s="754"/>
    </row>
    <row r="144" spans="2:18" s="755" customFormat="1" x14ac:dyDescent="0.2">
      <c r="B144" s="958" t="s">
        <v>554</v>
      </c>
      <c r="C144" s="3008"/>
      <c r="D144" s="3056"/>
      <c r="E144" s="3009"/>
      <c r="F144" s="1006"/>
      <c r="G144" s="1515"/>
      <c r="H144" s="1073">
        <f t="shared" si="32"/>
        <v>0</v>
      </c>
      <c r="I144" s="960">
        <f t="shared" si="33"/>
        <v>0</v>
      </c>
      <c r="J144" s="928">
        <f t="shared" si="34"/>
        <v>0</v>
      </c>
      <c r="L144" s="754"/>
      <c r="M144" s="754">
        <f t="shared" si="35"/>
        <v>0</v>
      </c>
      <c r="N144" s="754"/>
      <c r="O144" s="754"/>
      <c r="P144" s="754"/>
      <c r="Q144" s="754"/>
      <c r="R144" s="754"/>
    </row>
    <row r="145" spans="2:18" s="755" customFormat="1" x14ac:dyDescent="0.2">
      <c r="B145" s="958" t="s">
        <v>721</v>
      </c>
      <c r="C145" s="3008"/>
      <c r="D145" s="3056"/>
      <c r="E145" s="3009"/>
      <c r="F145" s="1006"/>
      <c r="G145" s="1515"/>
      <c r="H145" s="1073">
        <f t="shared" si="32"/>
        <v>0</v>
      </c>
      <c r="I145" s="960">
        <f t="shared" si="33"/>
        <v>0</v>
      </c>
      <c r="J145" s="928">
        <f t="shared" si="34"/>
        <v>0</v>
      </c>
      <c r="L145" s="754"/>
      <c r="M145" s="754">
        <f t="shared" si="35"/>
        <v>0</v>
      </c>
      <c r="N145" s="754"/>
      <c r="O145" s="754"/>
      <c r="P145" s="754"/>
      <c r="Q145" s="754"/>
      <c r="R145" s="754"/>
    </row>
    <row r="146" spans="2:18" s="755" customFormat="1" x14ac:dyDescent="0.2">
      <c r="B146" s="958" t="s">
        <v>722</v>
      </c>
      <c r="C146" s="3008"/>
      <c r="D146" s="3056"/>
      <c r="E146" s="3009"/>
      <c r="F146" s="1006"/>
      <c r="G146" s="1515"/>
      <c r="H146" s="1073">
        <f t="shared" si="32"/>
        <v>0</v>
      </c>
      <c r="I146" s="960">
        <f t="shared" si="33"/>
        <v>0</v>
      </c>
      <c r="J146" s="928">
        <f t="shared" si="34"/>
        <v>0</v>
      </c>
      <c r="L146" s="754"/>
      <c r="M146" s="754">
        <f t="shared" si="35"/>
        <v>0</v>
      </c>
      <c r="N146" s="754"/>
      <c r="O146" s="754"/>
      <c r="P146" s="754"/>
      <c r="Q146" s="754"/>
      <c r="R146" s="754"/>
    </row>
    <row r="147" spans="2:18" s="755" customFormat="1" x14ac:dyDescent="0.2">
      <c r="B147" s="958" t="s">
        <v>742</v>
      </c>
      <c r="C147" s="3008"/>
      <c r="D147" s="3056"/>
      <c r="E147" s="3009"/>
      <c r="F147" s="1006"/>
      <c r="G147" s="1515"/>
      <c r="H147" s="1073">
        <f t="shared" si="32"/>
        <v>0</v>
      </c>
      <c r="I147" s="960">
        <f t="shared" si="33"/>
        <v>0</v>
      </c>
      <c r="J147" s="928">
        <f t="shared" si="34"/>
        <v>0</v>
      </c>
      <c r="L147" s="754"/>
      <c r="M147" s="754">
        <f t="shared" si="35"/>
        <v>0</v>
      </c>
      <c r="N147" s="754"/>
      <c r="O147" s="754"/>
      <c r="P147" s="754"/>
      <c r="Q147" s="754"/>
      <c r="R147" s="754"/>
    </row>
    <row r="148" spans="2:18" s="755" customFormat="1" x14ac:dyDescent="0.2">
      <c r="B148" s="958" t="s">
        <v>743</v>
      </c>
      <c r="C148" s="3008"/>
      <c r="D148" s="3056"/>
      <c r="E148" s="3009"/>
      <c r="F148" s="1006"/>
      <c r="G148" s="1515"/>
      <c r="H148" s="1073">
        <f t="shared" si="32"/>
        <v>0</v>
      </c>
      <c r="I148" s="960">
        <f t="shared" si="33"/>
        <v>0</v>
      </c>
      <c r="J148" s="928">
        <f t="shared" si="34"/>
        <v>0</v>
      </c>
      <c r="L148" s="754"/>
      <c r="M148" s="754">
        <f t="shared" si="35"/>
        <v>0</v>
      </c>
      <c r="N148" s="754"/>
      <c r="O148" s="754"/>
      <c r="P148" s="754"/>
      <c r="Q148" s="754"/>
      <c r="R148" s="754"/>
    </row>
    <row r="149" spans="2:18" s="755" customFormat="1" x14ac:dyDescent="0.2">
      <c r="B149" s="958" t="s">
        <v>744</v>
      </c>
      <c r="C149" s="3008"/>
      <c r="D149" s="3056"/>
      <c r="E149" s="3009"/>
      <c r="F149" s="1006"/>
      <c r="G149" s="1515"/>
      <c r="H149" s="1073">
        <f t="shared" si="32"/>
        <v>0</v>
      </c>
      <c r="I149" s="960">
        <f t="shared" si="33"/>
        <v>0</v>
      </c>
      <c r="J149" s="928">
        <f t="shared" si="34"/>
        <v>0</v>
      </c>
      <c r="L149" s="754"/>
      <c r="M149" s="754">
        <f t="shared" si="35"/>
        <v>0</v>
      </c>
      <c r="N149" s="754"/>
      <c r="O149" s="754"/>
      <c r="P149" s="754"/>
      <c r="Q149" s="754"/>
      <c r="R149" s="754"/>
    </row>
    <row r="150" spans="2:18" s="755" customFormat="1" x14ac:dyDescent="0.2">
      <c r="B150" s="958" t="s">
        <v>745</v>
      </c>
      <c r="C150" s="3008"/>
      <c r="D150" s="3056"/>
      <c r="E150" s="3009"/>
      <c r="F150" s="1006"/>
      <c r="G150" s="1515"/>
      <c r="H150" s="1073">
        <f t="shared" si="32"/>
        <v>0</v>
      </c>
      <c r="I150" s="960">
        <f t="shared" si="33"/>
        <v>0</v>
      </c>
      <c r="J150" s="928">
        <f t="shared" si="34"/>
        <v>0</v>
      </c>
      <c r="L150" s="754"/>
      <c r="M150" s="754">
        <f t="shared" si="35"/>
        <v>0</v>
      </c>
      <c r="N150" s="754"/>
      <c r="O150" s="754"/>
      <c r="P150" s="754"/>
      <c r="Q150" s="754"/>
      <c r="R150" s="754"/>
    </row>
    <row r="151" spans="2:18" s="755" customFormat="1" x14ac:dyDescent="0.2">
      <c r="B151" s="958" t="s">
        <v>746</v>
      </c>
      <c r="C151" s="3008"/>
      <c r="D151" s="3056"/>
      <c r="E151" s="3009"/>
      <c r="F151" s="1006"/>
      <c r="G151" s="1515"/>
      <c r="H151" s="1073">
        <f t="shared" si="32"/>
        <v>0</v>
      </c>
      <c r="I151" s="960">
        <f t="shared" si="33"/>
        <v>0</v>
      </c>
      <c r="J151" s="928">
        <f t="shared" si="34"/>
        <v>0</v>
      </c>
      <c r="L151" s="754"/>
      <c r="M151" s="754">
        <f t="shared" si="35"/>
        <v>0</v>
      </c>
      <c r="N151" s="754"/>
      <c r="O151" s="754"/>
      <c r="P151" s="754"/>
      <c r="Q151" s="754"/>
      <c r="R151" s="754"/>
    </row>
    <row r="152" spans="2:18" s="755" customFormat="1" x14ac:dyDescent="0.2">
      <c r="B152" s="958" t="s">
        <v>747</v>
      </c>
      <c r="C152" s="3008"/>
      <c r="D152" s="3056"/>
      <c r="E152" s="3009"/>
      <c r="F152" s="1006"/>
      <c r="G152" s="1515"/>
      <c r="H152" s="1073">
        <f t="shared" si="32"/>
        <v>0</v>
      </c>
      <c r="I152" s="960">
        <f t="shared" si="33"/>
        <v>0</v>
      </c>
      <c r="J152" s="928">
        <f t="shared" si="34"/>
        <v>0</v>
      </c>
      <c r="L152" s="754"/>
      <c r="M152" s="754">
        <f t="shared" si="35"/>
        <v>0</v>
      </c>
      <c r="N152" s="754"/>
      <c r="O152" s="754"/>
      <c r="P152" s="754"/>
      <c r="Q152" s="754"/>
      <c r="R152" s="754"/>
    </row>
    <row r="153" spans="2:18" s="755" customFormat="1" x14ac:dyDescent="0.2">
      <c r="B153" s="958" t="s">
        <v>748</v>
      </c>
      <c r="C153" s="3008"/>
      <c r="D153" s="3056"/>
      <c r="E153" s="3009"/>
      <c r="F153" s="1006"/>
      <c r="G153" s="1515"/>
      <c r="H153" s="1073">
        <f t="shared" si="32"/>
        <v>0</v>
      </c>
      <c r="I153" s="960">
        <f t="shared" si="33"/>
        <v>0</v>
      </c>
      <c r="J153" s="928">
        <f t="shared" si="34"/>
        <v>0</v>
      </c>
      <c r="L153" s="754"/>
      <c r="M153" s="754">
        <f t="shared" si="35"/>
        <v>0</v>
      </c>
      <c r="N153" s="754"/>
      <c r="O153" s="754"/>
      <c r="P153" s="754"/>
      <c r="Q153" s="754"/>
      <c r="R153" s="754"/>
    </row>
    <row r="154" spans="2:18" s="755" customFormat="1" x14ac:dyDescent="0.2">
      <c r="B154" s="958" t="s">
        <v>749</v>
      </c>
      <c r="C154" s="3008"/>
      <c r="D154" s="3056"/>
      <c r="E154" s="3009"/>
      <c r="F154" s="1006"/>
      <c r="G154" s="1515"/>
      <c r="H154" s="1073">
        <f t="shared" si="32"/>
        <v>0</v>
      </c>
      <c r="I154" s="960">
        <f t="shared" si="33"/>
        <v>0</v>
      </c>
      <c r="J154" s="928">
        <f t="shared" si="34"/>
        <v>0</v>
      </c>
      <c r="L154" s="754"/>
      <c r="M154" s="754">
        <f t="shared" si="35"/>
        <v>0</v>
      </c>
      <c r="N154" s="754"/>
      <c r="O154" s="754"/>
      <c r="P154" s="754"/>
      <c r="Q154" s="754"/>
      <c r="R154" s="754"/>
    </row>
    <row r="155" spans="2:18" s="755" customFormat="1" x14ac:dyDescent="0.2">
      <c r="B155" s="958" t="s">
        <v>750</v>
      </c>
      <c r="C155" s="3008"/>
      <c r="D155" s="3056"/>
      <c r="E155" s="3009"/>
      <c r="F155" s="1006"/>
      <c r="G155" s="1515"/>
      <c r="H155" s="1073">
        <f t="shared" si="32"/>
        <v>0</v>
      </c>
      <c r="I155" s="960">
        <f t="shared" si="33"/>
        <v>0</v>
      </c>
      <c r="J155" s="928">
        <f t="shared" si="34"/>
        <v>0</v>
      </c>
      <c r="L155" s="754"/>
      <c r="M155" s="754">
        <f t="shared" si="35"/>
        <v>0</v>
      </c>
      <c r="N155" s="754"/>
      <c r="O155" s="754"/>
      <c r="P155" s="754"/>
      <c r="Q155" s="754"/>
      <c r="R155" s="754"/>
    </row>
    <row r="156" spans="2:18" s="755" customFormat="1" x14ac:dyDescent="0.2">
      <c r="B156" s="958" t="s">
        <v>751</v>
      </c>
      <c r="C156" s="3008"/>
      <c r="D156" s="3056"/>
      <c r="E156" s="3009"/>
      <c r="F156" s="1006"/>
      <c r="G156" s="1515"/>
      <c r="H156" s="1073">
        <f t="shared" si="32"/>
        <v>0</v>
      </c>
      <c r="I156" s="960">
        <f t="shared" si="33"/>
        <v>0</v>
      </c>
      <c r="J156" s="928">
        <f t="shared" si="34"/>
        <v>0</v>
      </c>
      <c r="L156" s="754"/>
      <c r="M156" s="754">
        <f t="shared" si="35"/>
        <v>0</v>
      </c>
      <c r="N156" s="754"/>
      <c r="O156" s="754"/>
      <c r="P156" s="754"/>
      <c r="Q156" s="754"/>
      <c r="R156" s="754"/>
    </row>
    <row r="157" spans="2:18" s="755" customFormat="1" x14ac:dyDescent="0.2">
      <c r="B157" s="1074"/>
      <c r="C157" s="866"/>
      <c r="D157" s="866"/>
      <c r="E157" s="1075"/>
      <c r="F157" s="1076"/>
      <c r="G157" s="1077">
        <f>SUM(M137:M156)</f>
        <v>0</v>
      </c>
      <c r="H157" s="867" t="s">
        <v>283</v>
      </c>
      <c r="I157" s="820">
        <f>SUM(I137:I156)</f>
        <v>0</v>
      </c>
      <c r="J157" s="821">
        <f>SUM(J137:J156)</f>
        <v>0</v>
      </c>
      <c r="L157" s="754"/>
      <c r="M157" s="754"/>
      <c r="N157" s="754"/>
      <c r="O157" s="754"/>
      <c r="P157" s="754"/>
      <c r="Q157" s="754"/>
      <c r="R157" s="754"/>
    </row>
    <row r="158" spans="2:18" s="755" customFormat="1" ht="21" customHeight="1" x14ac:dyDescent="0.2">
      <c r="B158" s="1114"/>
      <c r="C158" s="1115"/>
      <c r="D158" s="1115"/>
      <c r="E158" s="1115"/>
      <c r="F158" s="1115"/>
      <c r="G158" s="932"/>
      <c r="H158" s="828" t="s">
        <v>752</v>
      </c>
      <c r="I158" s="1116">
        <f>I131+I157</f>
        <v>0</v>
      </c>
      <c r="J158" s="1117">
        <f>J131+J157</f>
        <v>0</v>
      </c>
      <c r="L158" s="754"/>
      <c r="M158" s="754"/>
      <c r="N158" s="754"/>
      <c r="O158" s="754"/>
      <c r="P158" s="754"/>
      <c r="Q158" s="754"/>
      <c r="R158" s="754"/>
    </row>
    <row r="159" spans="2:18" s="842" customFormat="1" ht="15" x14ac:dyDescent="0.2">
      <c r="B159" s="836"/>
      <c r="C159" s="837"/>
      <c r="D159" s="837"/>
      <c r="E159" s="837"/>
      <c r="F159" s="836"/>
      <c r="G159" s="836"/>
      <c r="H159" s="837"/>
      <c r="I159" s="967"/>
      <c r="J159" s="967"/>
      <c r="L159" s="840"/>
      <c r="M159" s="754"/>
      <c r="N159" s="840"/>
      <c r="O159" s="840"/>
      <c r="P159" s="840"/>
      <c r="Q159" s="840"/>
      <c r="R159" s="840"/>
    </row>
    <row r="160" spans="2:18" s="842" customFormat="1" ht="15" x14ac:dyDescent="0.2">
      <c r="B160" s="968"/>
      <c r="C160" s="1092"/>
      <c r="D160" s="1092"/>
      <c r="E160" s="1092"/>
      <c r="F160" s="968"/>
      <c r="G160" s="968"/>
      <c r="H160" s="1092"/>
      <c r="I160" s="981"/>
      <c r="J160" s="981"/>
      <c r="L160" s="840"/>
      <c r="M160" s="754"/>
      <c r="N160" s="840"/>
      <c r="O160" s="840"/>
      <c r="P160" s="840"/>
      <c r="Q160" s="840"/>
      <c r="R160" s="840"/>
    </row>
    <row r="161" spans="2:18" s="682" customFormat="1" ht="21" customHeight="1" x14ac:dyDescent="0.25">
      <c r="B161" s="710" t="s">
        <v>753</v>
      </c>
      <c r="C161" s="1066"/>
      <c r="D161" s="1066"/>
      <c r="E161" s="712"/>
      <c r="F161" s="714"/>
      <c r="G161" s="714"/>
      <c r="H161" s="714"/>
      <c r="I161" s="714"/>
      <c r="J161" s="1067"/>
      <c r="L161" s="685"/>
      <c r="M161" s="754"/>
      <c r="N161" s="685"/>
      <c r="O161" s="685"/>
      <c r="P161" s="685"/>
      <c r="Q161" s="685"/>
      <c r="R161" s="685"/>
    </row>
    <row r="162" spans="2:18" s="736" customFormat="1" x14ac:dyDescent="0.2">
      <c r="B162" s="809"/>
      <c r="C162" s="3030" t="s">
        <v>754</v>
      </c>
      <c r="D162" s="3031"/>
      <c r="E162" s="3031"/>
      <c r="F162" s="3032"/>
      <c r="G162" s="810" t="s">
        <v>724</v>
      </c>
      <c r="H162" s="1068" t="s">
        <v>442</v>
      </c>
      <c r="I162" s="1069" t="s">
        <v>443</v>
      </c>
      <c r="J162" s="1070" t="s">
        <v>443</v>
      </c>
      <c r="L162" s="734"/>
      <c r="M162" s="754"/>
      <c r="N162" s="734"/>
      <c r="O162" s="734"/>
      <c r="P162" s="734"/>
      <c r="Q162" s="734"/>
      <c r="R162" s="734"/>
    </row>
    <row r="163" spans="2:18" s="747" customFormat="1" x14ac:dyDescent="0.2">
      <c r="B163" s="849"/>
      <c r="C163" s="3137"/>
      <c r="D163" s="3138"/>
      <c r="E163" s="3138"/>
      <c r="F163" s="1118"/>
      <c r="G163" s="1100" t="s">
        <v>1018</v>
      </c>
      <c r="H163" s="1101" t="s">
        <v>448</v>
      </c>
      <c r="I163" s="1101" t="s">
        <v>445</v>
      </c>
      <c r="J163" s="1102" t="s">
        <v>315</v>
      </c>
      <c r="L163" s="745"/>
      <c r="M163" s="754"/>
      <c r="N163" s="745"/>
      <c r="O163" s="745"/>
      <c r="P163" s="745"/>
      <c r="Q163" s="745"/>
      <c r="R163" s="745"/>
    </row>
    <row r="164" spans="2:18" s="755" customFormat="1" x14ac:dyDescent="0.2">
      <c r="B164" s="958" t="s">
        <v>547</v>
      </c>
      <c r="C164" s="3139"/>
      <c r="D164" s="3140"/>
      <c r="E164" s="3140"/>
      <c r="F164" s="3141"/>
      <c r="G164" s="1516"/>
      <c r="H164" s="1073">
        <v>10</v>
      </c>
      <c r="I164" s="960">
        <f>IF(C164&lt;&gt;"",H164,0)</f>
        <v>0</v>
      </c>
      <c r="J164" s="928">
        <f>I164/15</f>
        <v>0</v>
      </c>
      <c r="L164" s="754"/>
      <c r="M164" s="754">
        <f>IF(G164&lt;&gt;"",IF(AND(G164&gt;=$M$13,G164&lt;=$N$13),1,0),0)</f>
        <v>0</v>
      </c>
      <c r="N164" s="754"/>
      <c r="O164" s="754"/>
      <c r="P164" s="754"/>
      <c r="Q164" s="754"/>
      <c r="R164" s="754"/>
    </row>
    <row r="165" spans="2:18" s="755" customFormat="1" x14ac:dyDescent="0.2">
      <c r="B165" s="958" t="s">
        <v>548</v>
      </c>
      <c r="C165" s="3139"/>
      <c r="D165" s="3140"/>
      <c r="E165" s="3140"/>
      <c r="F165" s="3141"/>
      <c r="G165" s="1516"/>
      <c r="H165" s="1073">
        <v>10</v>
      </c>
      <c r="I165" s="960">
        <f>IF(C165&lt;&gt;"",H165,0)</f>
        <v>0</v>
      </c>
      <c r="J165" s="928">
        <f>I165/15</f>
        <v>0</v>
      </c>
      <c r="L165" s="754"/>
      <c r="M165" s="754">
        <f>IF(G165&lt;&gt;"",IF(AND(G165&gt;=$M$13,G165&lt;=$N$13),1,0),0)</f>
        <v>0</v>
      </c>
      <c r="N165" s="754"/>
      <c r="O165" s="754"/>
      <c r="P165" s="754"/>
      <c r="Q165" s="754"/>
      <c r="R165" s="754"/>
    </row>
    <row r="166" spans="2:18" s="755" customFormat="1" x14ac:dyDescent="0.2">
      <c r="B166" s="958" t="s">
        <v>549</v>
      </c>
      <c r="C166" s="3139"/>
      <c r="D166" s="3140"/>
      <c r="E166" s="3140"/>
      <c r="F166" s="3141"/>
      <c r="G166" s="1516"/>
      <c r="H166" s="1073">
        <v>10</v>
      </c>
      <c r="I166" s="960">
        <f>IF(C166&lt;&gt;"",H166,0)</f>
        <v>0</v>
      </c>
      <c r="J166" s="928">
        <f>I166/15</f>
        <v>0</v>
      </c>
      <c r="L166" s="754"/>
      <c r="M166" s="754">
        <f>IF(G166&lt;&gt;"",IF(AND(G166&gt;=$M$13,G166&lt;=$N$13),1,0),0)</f>
        <v>0</v>
      </c>
      <c r="N166" s="754"/>
      <c r="O166" s="754"/>
      <c r="P166" s="754"/>
      <c r="Q166" s="754"/>
      <c r="R166" s="754"/>
    </row>
    <row r="167" spans="2:18" s="755" customFormat="1" x14ac:dyDescent="0.2">
      <c r="B167" s="958" t="s">
        <v>550</v>
      </c>
      <c r="C167" s="3139"/>
      <c r="D167" s="3140"/>
      <c r="E167" s="3140"/>
      <c r="F167" s="3141"/>
      <c r="G167" s="1516"/>
      <c r="H167" s="1073">
        <v>10</v>
      </c>
      <c r="I167" s="960">
        <f>IF(C167&lt;&gt;"",H167,0)</f>
        <v>0</v>
      </c>
      <c r="J167" s="928">
        <f>I167/15</f>
        <v>0</v>
      </c>
      <c r="L167" s="754"/>
      <c r="M167" s="754">
        <f>IF(G167&lt;&gt;"",IF(AND(G167&gt;=$M$13,G167&lt;=$N$13),1,0),0)</f>
        <v>0</v>
      </c>
      <c r="N167" s="754"/>
      <c r="O167" s="754"/>
      <c r="P167" s="754"/>
      <c r="Q167" s="754"/>
      <c r="R167" s="754"/>
    </row>
    <row r="168" spans="2:18" s="755" customFormat="1" x14ac:dyDescent="0.2">
      <c r="B168" s="958" t="s">
        <v>551</v>
      </c>
      <c r="C168" s="3139"/>
      <c r="D168" s="3140"/>
      <c r="E168" s="3140"/>
      <c r="F168" s="3141"/>
      <c r="G168" s="1516"/>
      <c r="H168" s="1073">
        <v>10</v>
      </c>
      <c r="I168" s="960">
        <f>IF(C168&lt;&gt;"",H168,0)</f>
        <v>0</v>
      </c>
      <c r="J168" s="928">
        <f>I168/15</f>
        <v>0</v>
      </c>
      <c r="L168" s="754"/>
      <c r="M168" s="754">
        <f>IF(G168&lt;&gt;"",IF(AND(G168&gt;=$M$13,G168&lt;=$N$13),1,0),0)</f>
        <v>0</v>
      </c>
      <c r="N168" s="754"/>
      <c r="O168" s="754"/>
      <c r="P168" s="754"/>
      <c r="Q168" s="754"/>
      <c r="R168" s="754"/>
    </row>
    <row r="169" spans="2:18" s="755" customFormat="1" x14ac:dyDescent="0.2">
      <c r="B169" s="1074"/>
      <c r="C169" s="866"/>
      <c r="D169" s="866"/>
      <c r="E169" s="1075"/>
      <c r="F169" s="1076"/>
      <c r="G169" s="1077">
        <f>SUM(M164:M168)</f>
        <v>0</v>
      </c>
      <c r="H169" s="867" t="s">
        <v>283</v>
      </c>
      <c r="I169" s="820">
        <f>SUM(I164:I168)</f>
        <v>0</v>
      </c>
      <c r="J169" s="821">
        <f>SUM(J164:J168)</f>
        <v>0</v>
      </c>
      <c r="L169" s="754"/>
      <c r="M169" s="754"/>
      <c r="N169" s="754"/>
      <c r="O169" s="754"/>
      <c r="P169" s="754"/>
      <c r="Q169" s="754"/>
      <c r="R169" s="754"/>
    </row>
    <row r="170" spans="2:18" s="842" customFormat="1" ht="12" customHeight="1" x14ac:dyDescent="0.2">
      <c r="B170" s="836"/>
      <c r="C170" s="837"/>
      <c r="D170" s="837"/>
      <c r="E170" s="837"/>
      <c r="F170" s="836"/>
      <c r="G170" s="836"/>
      <c r="H170" s="837"/>
      <c r="I170" s="967"/>
      <c r="J170" s="967"/>
      <c r="L170" s="840"/>
      <c r="M170" s="754"/>
      <c r="N170" s="840"/>
      <c r="O170" s="840"/>
      <c r="P170" s="840"/>
      <c r="Q170" s="840"/>
      <c r="R170" s="840"/>
    </row>
    <row r="171" spans="2:18" s="842" customFormat="1" ht="12" customHeight="1" x14ac:dyDescent="0.2">
      <c r="B171" s="968"/>
      <c r="C171" s="1092"/>
      <c r="D171" s="1092"/>
      <c r="E171" s="1092"/>
      <c r="F171" s="968"/>
      <c r="G171" s="968"/>
      <c r="H171" s="1092"/>
      <c r="I171" s="981"/>
      <c r="J171" s="981"/>
      <c r="L171" s="840"/>
      <c r="M171" s="754"/>
      <c r="N171" s="840"/>
      <c r="O171" s="840"/>
      <c r="P171" s="840"/>
      <c r="Q171" s="840"/>
      <c r="R171" s="840"/>
    </row>
    <row r="172" spans="2:18" s="682" customFormat="1" ht="21" customHeight="1" x14ac:dyDescent="0.25">
      <c r="B172" s="710" t="s">
        <v>755</v>
      </c>
      <c r="C172" s="1066"/>
      <c r="D172" s="1066"/>
      <c r="E172" s="712"/>
      <c r="F172" s="714"/>
      <c r="G172" s="714"/>
      <c r="H172" s="714"/>
      <c r="I172" s="714"/>
      <c r="J172" s="1067"/>
      <c r="L172" s="685"/>
      <c r="M172" s="754"/>
      <c r="N172" s="685"/>
      <c r="O172" s="685"/>
      <c r="P172" s="685"/>
      <c r="Q172" s="685"/>
      <c r="R172" s="685"/>
    </row>
    <row r="173" spans="2:18" s="736" customFormat="1" x14ac:dyDescent="0.2">
      <c r="B173" s="809"/>
      <c r="C173" s="3030" t="s">
        <v>754</v>
      </c>
      <c r="D173" s="3031"/>
      <c r="E173" s="3031"/>
      <c r="F173" s="3032"/>
      <c r="G173" s="810" t="s">
        <v>724</v>
      </c>
      <c r="H173" s="1068" t="s">
        <v>442</v>
      </c>
      <c r="I173" s="1069" t="s">
        <v>443</v>
      </c>
      <c r="J173" s="1070" t="s">
        <v>443</v>
      </c>
      <c r="L173" s="734"/>
      <c r="M173" s="754"/>
      <c r="N173" s="734"/>
      <c r="O173" s="734"/>
      <c r="P173" s="734"/>
      <c r="Q173" s="734"/>
      <c r="R173" s="734"/>
    </row>
    <row r="174" spans="2:18" s="747" customFormat="1" x14ac:dyDescent="0.2">
      <c r="B174" s="849"/>
      <c r="C174" s="3137"/>
      <c r="D174" s="3138"/>
      <c r="E174" s="3138"/>
      <c r="F174" s="1118"/>
      <c r="G174" s="1100" t="s">
        <v>1018</v>
      </c>
      <c r="H174" s="1101" t="s">
        <v>448</v>
      </c>
      <c r="I174" s="1101" t="s">
        <v>445</v>
      </c>
      <c r="J174" s="1102" t="s">
        <v>315</v>
      </c>
      <c r="L174" s="745"/>
      <c r="M174" s="754"/>
      <c r="N174" s="745"/>
      <c r="O174" s="745"/>
      <c r="P174" s="745"/>
      <c r="Q174" s="745"/>
      <c r="R174" s="745"/>
    </row>
    <row r="175" spans="2:18" s="755" customFormat="1" x14ac:dyDescent="0.2">
      <c r="B175" s="958" t="s">
        <v>547</v>
      </c>
      <c r="C175" s="3139"/>
      <c r="D175" s="3140"/>
      <c r="E175" s="3140"/>
      <c r="F175" s="3141"/>
      <c r="G175" s="1516"/>
      <c r="H175" s="1073">
        <v>2</v>
      </c>
      <c r="I175" s="960">
        <f>IF(C175&lt;&gt;"",H175,0)</f>
        <v>0</v>
      </c>
      <c r="J175" s="928">
        <f>I175/15</f>
        <v>0</v>
      </c>
      <c r="L175" s="754"/>
      <c r="M175" s="754">
        <f>IF(G175&lt;&gt;"",IF(AND(G175&gt;=$M$13,G175&lt;=$N$13),1,0),0)</f>
        <v>0</v>
      </c>
      <c r="N175" s="754"/>
      <c r="O175" s="754"/>
      <c r="P175" s="754"/>
      <c r="Q175" s="754"/>
      <c r="R175" s="754"/>
    </row>
    <row r="176" spans="2:18" s="755" customFormat="1" x14ac:dyDescent="0.2">
      <c r="B176" s="958" t="s">
        <v>548</v>
      </c>
      <c r="C176" s="3139"/>
      <c r="D176" s="3140"/>
      <c r="E176" s="3140"/>
      <c r="F176" s="3141"/>
      <c r="G176" s="1516"/>
      <c r="H176" s="1073">
        <v>2</v>
      </c>
      <c r="I176" s="960">
        <f>IF(C176&lt;&gt;"",H176,0)</f>
        <v>0</v>
      </c>
      <c r="J176" s="928">
        <f>I176/15</f>
        <v>0</v>
      </c>
      <c r="L176" s="754"/>
      <c r="M176" s="754">
        <f>IF(G176&lt;&gt;"",IF(AND(G176&gt;=$M$13,G176&lt;=$N$13),1,0),0)</f>
        <v>0</v>
      </c>
      <c r="N176" s="754"/>
      <c r="O176" s="754"/>
      <c r="P176" s="754"/>
      <c r="Q176" s="754"/>
      <c r="R176" s="754"/>
    </row>
    <row r="177" spans="2:18" s="755" customFormat="1" x14ac:dyDescent="0.2">
      <c r="B177" s="958" t="s">
        <v>549</v>
      </c>
      <c r="C177" s="3139"/>
      <c r="D177" s="3140"/>
      <c r="E177" s="3140"/>
      <c r="F177" s="3141"/>
      <c r="G177" s="1516"/>
      <c r="H177" s="1073">
        <v>2</v>
      </c>
      <c r="I177" s="960">
        <f>IF(C177&lt;&gt;"",H177,0)</f>
        <v>0</v>
      </c>
      <c r="J177" s="928">
        <f>I177/15</f>
        <v>0</v>
      </c>
      <c r="L177" s="754"/>
      <c r="M177" s="754">
        <f>IF(G177&lt;&gt;"",IF(AND(G177&gt;=$M$13,G177&lt;=$N$13),1,0),0)</f>
        <v>0</v>
      </c>
      <c r="N177" s="754"/>
      <c r="O177" s="754"/>
      <c r="P177" s="754"/>
      <c r="Q177" s="754"/>
      <c r="R177" s="754"/>
    </row>
    <row r="178" spans="2:18" s="755" customFormat="1" x14ac:dyDescent="0.2">
      <c r="B178" s="958" t="s">
        <v>550</v>
      </c>
      <c r="C178" s="3139"/>
      <c r="D178" s="3140"/>
      <c r="E178" s="3140"/>
      <c r="F178" s="3141"/>
      <c r="G178" s="1516"/>
      <c r="H178" s="1073">
        <v>2</v>
      </c>
      <c r="I178" s="960">
        <f>IF(C178&lt;&gt;"",H178,0)</f>
        <v>0</v>
      </c>
      <c r="J178" s="928">
        <f>I178/15</f>
        <v>0</v>
      </c>
      <c r="L178" s="754"/>
      <c r="M178" s="754">
        <f>IF(G178&lt;&gt;"",IF(AND(G178&gt;=$M$13,G178&lt;=$N$13),1,0),0)</f>
        <v>0</v>
      </c>
      <c r="N178" s="754"/>
      <c r="O178" s="754"/>
      <c r="P178" s="754"/>
      <c r="Q178" s="754"/>
      <c r="R178" s="754"/>
    </row>
    <row r="179" spans="2:18" s="755" customFormat="1" x14ac:dyDescent="0.2">
      <c r="B179" s="958" t="s">
        <v>551</v>
      </c>
      <c r="C179" s="3139"/>
      <c r="D179" s="3140"/>
      <c r="E179" s="3140"/>
      <c r="F179" s="3141"/>
      <c r="G179" s="1516"/>
      <c r="H179" s="1073">
        <v>2</v>
      </c>
      <c r="I179" s="960">
        <f>IF(C179&lt;&gt;"",H179,0)</f>
        <v>0</v>
      </c>
      <c r="J179" s="928">
        <f>I179/15</f>
        <v>0</v>
      </c>
      <c r="L179" s="754"/>
      <c r="M179" s="754">
        <f>IF(G179&lt;&gt;"",IF(AND(G179&gt;=$M$13,G179&lt;=$N$13),1,0),0)</f>
        <v>0</v>
      </c>
      <c r="N179" s="754"/>
      <c r="O179" s="754"/>
      <c r="P179" s="754"/>
      <c r="Q179" s="754"/>
      <c r="R179" s="754"/>
    </row>
    <row r="180" spans="2:18" s="755" customFormat="1" x14ac:dyDescent="0.2">
      <c r="B180" s="1074"/>
      <c r="C180" s="866"/>
      <c r="D180" s="866"/>
      <c r="E180" s="1075"/>
      <c r="F180" s="1076"/>
      <c r="G180" s="1077">
        <f>SUM(M175:M179)</f>
        <v>0</v>
      </c>
      <c r="H180" s="867" t="s">
        <v>283</v>
      </c>
      <c r="I180" s="820">
        <f>SUM(I175:I179)</f>
        <v>0</v>
      </c>
      <c r="J180" s="821">
        <f>SUM(J175:J179)</f>
        <v>0</v>
      </c>
      <c r="L180" s="754"/>
      <c r="M180" s="754"/>
      <c r="N180" s="754"/>
      <c r="O180" s="754"/>
      <c r="P180" s="754"/>
      <c r="Q180" s="754"/>
      <c r="R180" s="754"/>
    </row>
    <row r="181" spans="2:18" s="842" customFormat="1" ht="12" customHeight="1" x14ac:dyDescent="0.2">
      <c r="B181" s="836"/>
      <c r="C181" s="837"/>
      <c r="D181" s="837"/>
      <c r="E181" s="837"/>
      <c r="F181" s="836"/>
      <c r="G181" s="836"/>
      <c r="H181" s="837"/>
      <c r="I181" s="967"/>
      <c r="J181" s="967"/>
      <c r="L181" s="840"/>
      <c r="M181" s="754"/>
      <c r="N181" s="840"/>
      <c r="O181" s="840"/>
      <c r="P181" s="840"/>
      <c r="Q181" s="840"/>
      <c r="R181" s="840"/>
    </row>
    <row r="182" spans="2:18" s="842" customFormat="1" ht="12" customHeight="1" x14ac:dyDescent="0.2">
      <c r="B182" s="945"/>
      <c r="C182" s="1093"/>
      <c r="D182" s="1093"/>
      <c r="E182" s="1093"/>
      <c r="F182" s="945"/>
      <c r="G182" s="945"/>
      <c r="H182" s="1093"/>
      <c r="I182" s="980"/>
      <c r="J182" s="980"/>
      <c r="L182" s="840"/>
      <c r="M182" s="754"/>
      <c r="N182" s="840"/>
      <c r="O182" s="840"/>
      <c r="P182" s="840"/>
      <c r="Q182" s="840"/>
      <c r="R182" s="840"/>
    </row>
    <row r="183" spans="2:18" s="682" customFormat="1" ht="21" customHeight="1" x14ac:dyDescent="0.25">
      <c r="B183" s="710" t="s">
        <v>756</v>
      </c>
      <c r="C183" s="1066"/>
      <c r="D183" s="1066"/>
      <c r="E183" s="712"/>
      <c r="F183" s="714"/>
      <c r="G183" s="714"/>
      <c r="H183" s="714"/>
      <c r="I183" s="714"/>
      <c r="J183" s="1067"/>
      <c r="L183" s="685"/>
      <c r="M183" s="754"/>
      <c r="N183" s="685"/>
      <c r="O183" s="685"/>
      <c r="P183" s="685"/>
      <c r="Q183" s="685"/>
      <c r="R183" s="685"/>
    </row>
    <row r="184" spans="2:18" s="736" customFormat="1" x14ac:dyDescent="0.2">
      <c r="B184" s="809"/>
      <c r="C184" s="3030" t="s">
        <v>757</v>
      </c>
      <c r="D184" s="3032"/>
      <c r="E184" s="810" t="s">
        <v>758</v>
      </c>
      <c r="F184" s="1003" t="s">
        <v>759</v>
      </c>
      <c r="G184" s="810" t="s">
        <v>724</v>
      </c>
      <c r="H184" s="1068" t="s">
        <v>442</v>
      </c>
      <c r="I184" s="1069" t="s">
        <v>443</v>
      </c>
      <c r="J184" s="1070" t="s">
        <v>443</v>
      </c>
      <c r="L184" s="734"/>
      <c r="M184" s="754"/>
      <c r="N184" s="734"/>
      <c r="O184" s="734"/>
      <c r="P184" s="734"/>
      <c r="Q184" s="734"/>
      <c r="R184" s="734"/>
    </row>
    <row r="185" spans="2:18" s="747" customFormat="1" x14ac:dyDescent="0.2">
      <c r="B185" s="849"/>
      <c r="C185" s="3137"/>
      <c r="D185" s="3142"/>
      <c r="E185" s="732" t="s">
        <v>760</v>
      </c>
      <c r="F185" s="732" t="s">
        <v>761</v>
      </c>
      <c r="G185" s="1100" t="s">
        <v>1018</v>
      </c>
      <c r="H185" s="1101" t="s">
        <v>448</v>
      </c>
      <c r="I185" s="1101" t="s">
        <v>445</v>
      </c>
      <c r="J185" s="1102" t="s">
        <v>315</v>
      </c>
      <c r="L185" s="745"/>
      <c r="M185" s="754"/>
      <c r="N185" s="745"/>
      <c r="O185" s="745"/>
      <c r="P185" s="745"/>
      <c r="Q185" s="745"/>
      <c r="R185" s="745"/>
    </row>
    <row r="186" spans="2:18" s="747" customFormat="1" x14ac:dyDescent="0.2">
      <c r="B186" s="737"/>
      <c r="C186" s="3128"/>
      <c r="D186" s="3130"/>
      <c r="E186" s="906" t="s">
        <v>629</v>
      </c>
      <c r="F186" s="739"/>
      <c r="G186" s="739"/>
      <c r="H186" s="858"/>
      <c r="I186" s="858"/>
      <c r="J186" s="859"/>
      <c r="L186" s="745"/>
      <c r="M186" s="754"/>
      <c r="N186" s="745"/>
      <c r="O186" s="745"/>
      <c r="P186" s="745"/>
      <c r="Q186" s="745"/>
      <c r="R186" s="745"/>
    </row>
    <row r="187" spans="2:18" s="755" customFormat="1" x14ac:dyDescent="0.2">
      <c r="B187" s="958" t="s">
        <v>547</v>
      </c>
      <c r="C187" s="3008"/>
      <c r="D187" s="3009"/>
      <c r="E187" s="1006"/>
      <c r="F187" s="1090"/>
      <c r="G187" s="1510"/>
      <c r="H187" s="1073">
        <f t="shared" ref="H187:H196" si="36">IF(OR(E187="ครู คศ.3",E187="ผู้ช่วยศาสตราจารย์"),13,IF(E187="รองศาสตราจารย์",18,IF(E187="ศาสตราจารย์",30,0)))</f>
        <v>0</v>
      </c>
      <c r="I187" s="960">
        <f>F187*H187</f>
        <v>0</v>
      </c>
      <c r="J187" s="928">
        <f t="shared" ref="J187:J196" si="37">I187/15</f>
        <v>0</v>
      </c>
      <c r="L187" s="754"/>
      <c r="M187" s="754">
        <f t="shared" ref="M187:M196" si="38">IF(G187&lt;&gt;"",IF(AND(G187&gt;=$M$13,G187&lt;=$N$13),1,0),0)</f>
        <v>0</v>
      </c>
      <c r="N187" s="754"/>
      <c r="O187" s="754"/>
      <c r="P187" s="754"/>
      <c r="Q187" s="754"/>
      <c r="R187" s="754"/>
    </row>
    <row r="188" spans="2:18" s="755" customFormat="1" x14ac:dyDescent="0.2">
      <c r="B188" s="958" t="s">
        <v>548</v>
      </c>
      <c r="C188" s="3008"/>
      <c r="D188" s="3009"/>
      <c r="E188" s="1006"/>
      <c r="F188" s="1090"/>
      <c r="G188" s="1510"/>
      <c r="H188" s="1073">
        <f t="shared" si="36"/>
        <v>0</v>
      </c>
      <c r="I188" s="960">
        <f t="shared" ref="I188:I196" si="39">F188*H188</f>
        <v>0</v>
      </c>
      <c r="J188" s="928">
        <f t="shared" si="37"/>
        <v>0</v>
      </c>
      <c r="L188" s="754"/>
      <c r="M188" s="754">
        <f t="shared" si="38"/>
        <v>0</v>
      </c>
      <c r="N188" s="754"/>
      <c r="O188" s="754"/>
      <c r="P188" s="754"/>
      <c r="Q188" s="754"/>
      <c r="R188" s="754"/>
    </row>
    <row r="189" spans="2:18" s="755" customFormat="1" x14ac:dyDescent="0.2">
      <c r="B189" s="958" t="s">
        <v>549</v>
      </c>
      <c r="C189" s="3008"/>
      <c r="D189" s="3009"/>
      <c r="E189" s="1006"/>
      <c r="F189" s="1090"/>
      <c r="G189" s="1510"/>
      <c r="H189" s="1073">
        <f t="shared" si="36"/>
        <v>0</v>
      </c>
      <c r="I189" s="960">
        <f t="shared" si="39"/>
        <v>0</v>
      </c>
      <c r="J189" s="928">
        <f t="shared" si="37"/>
        <v>0</v>
      </c>
      <c r="L189" s="754"/>
      <c r="M189" s="754">
        <f t="shared" si="38"/>
        <v>0</v>
      </c>
      <c r="N189" s="754"/>
      <c r="O189" s="754"/>
      <c r="P189" s="754"/>
      <c r="Q189" s="754"/>
      <c r="R189" s="754"/>
    </row>
    <row r="190" spans="2:18" s="755" customFormat="1" x14ac:dyDescent="0.2">
      <c r="B190" s="958" t="s">
        <v>550</v>
      </c>
      <c r="C190" s="3008"/>
      <c r="D190" s="3009"/>
      <c r="E190" s="1006"/>
      <c r="F190" s="1090"/>
      <c r="G190" s="1510"/>
      <c r="H190" s="1073">
        <f t="shared" si="36"/>
        <v>0</v>
      </c>
      <c r="I190" s="960">
        <f t="shared" si="39"/>
        <v>0</v>
      </c>
      <c r="J190" s="928">
        <f t="shared" si="37"/>
        <v>0</v>
      </c>
      <c r="L190" s="754"/>
      <c r="M190" s="754">
        <f t="shared" si="38"/>
        <v>0</v>
      </c>
      <c r="N190" s="754"/>
      <c r="O190" s="754"/>
      <c r="P190" s="754"/>
      <c r="Q190" s="754"/>
      <c r="R190" s="754"/>
    </row>
    <row r="191" spans="2:18" s="755" customFormat="1" x14ac:dyDescent="0.2">
      <c r="B191" s="958" t="s">
        <v>551</v>
      </c>
      <c r="C191" s="3008"/>
      <c r="D191" s="3009"/>
      <c r="E191" s="1006"/>
      <c r="F191" s="1090"/>
      <c r="G191" s="1510"/>
      <c r="H191" s="1073">
        <f t="shared" si="36"/>
        <v>0</v>
      </c>
      <c r="I191" s="960">
        <f t="shared" si="39"/>
        <v>0</v>
      </c>
      <c r="J191" s="928">
        <f t="shared" si="37"/>
        <v>0</v>
      </c>
      <c r="L191" s="754"/>
      <c r="M191" s="754">
        <f t="shared" si="38"/>
        <v>0</v>
      </c>
      <c r="N191" s="754"/>
      <c r="O191" s="754"/>
      <c r="P191" s="754"/>
      <c r="Q191" s="754"/>
      <c r="R191" s="754"/>
    </row>
    <row r="192" spans="2:18" s="755" customFormat="1" x14ac:dyDescent="0.2">
      <c r="B192" s="958" t="s">
        <v>552</v>
      </c>
      <c r="C192" s="3008"/>
      <c r="D192" s="3009"/>
      <c r="E192" s="1006"/>
      <c r="F192" s="1090"/>
      <c r="G192" s="1510"/>
      <c r="H192" s="1073">
        <f t="shared" si="36"/>
        <v>0</v>
      </c>
      <c r="I192" s="960">
        <f t="shared" si="39"/>
        <v>0</v>
      </c>
      <c r="J192" s="928">
        <f t="shared" si="37"/>
        <v>0</v>
      </c>
      <c r="L192" s="754"/>
      <c r="M192" s="754">
        <f t="shared" si="38"/>
        <v>0</v>
      </c>
      <c r="N192" s="754"/>
      <c r="O192" s="754"/>
      <c r="P192" s="754"/>
      <c r="Q192" s="754"/>
      <c r="R192" s="754"/>
    </row>
    <row r="193" spans="2:18" s="755" customFormat="1" x14ac:dyDescent="0.2">
      <c r="B193" s="958" t="s">
        <v>553</v>
      </c>
      <c r="C193" s="3008"/>
      <c r="D193" s="3009"/>
      <c r="E193" s="1006"/>
      <c r="F193" s="1090"/>
      <c r="G193" s="1510"/>
      <c r="H193" s="1073">
        <f t="shared" si="36"/>
        <v>0</v>
      </c>
      <c r="I193" s="960">
        <f t="shared" si="39"/>
        <v>0</v>
      </c>
      <c r="J193" s="928">
        <f t="shared" si="37"/>
        <v>0</v>
      </c>
      <c r="L193" s="754"/>
      <c r="M193" s="754">
        <f t="shared" si="38"/>
        <v>0</v>
      </c>
      <c r="N193" s="754"/>
      <c r="O193" s="754"/>
      <c r="P193" s="754"/>
      <c r="Q193" s="754"/>
      <c r="R193" s="754"/>
    </row>
    <row r="194" spans="2:18" s="755" customFormat="1" x14ac:dyDescent="0.2">
      <c r="B194" s="958" t="s">
        <v>554</v>
      </c>
      <c r="C194" s="3008"/>
      <c r="D194" s="3009"/>
      <c r="E194" s="1006"/>
      <c r="F194" s="1090"/>
      <c r="G194" s="1510"/>
      <c r="H194" s="1073">
        <f t="shared" si="36"/>
        <v>0</v>
      </c>
      <c r="I194" s="960">
        <f t="shared" si="39"/>
        <v>0</v>
      </c>
      <c r="J194" s="928">
        <f t="shared" si="37"/>
        <v>0</v>
      </c>
      <c r="L194" s="754"/>
      <c r="M194" s="754">
        <f t="shared" si="38"/>
        <v>0</v>
      </c>
      <c r="N194" s="754"/>
      <c r="O194" s="754"/>
      <c r="P194" s="754"/>
      <c r="Q194" s="754"/>
      <c r="R194" s="754"/>
    </row>
    <row r="195" spans="2:18" s="755" customFormat="1" x14ac:dyDescent="0.2">
      <c r="B195" s="958" t="s">
        <v>721</v>
      </c>
      <c r="C195" s="3008"/>
      <c r="D195" s="3009"/>
      <c r="E195" s="1006"/>
      <c r="F195" s="1090"/>
      <c r="G195" s="1510"/>
      <c r="H195" s="1073">
        <f t="shared" si="36"/>
        <v>0</v>
      </c>
      <c r="I195" s="960">
        <f t="shared" si="39"/>
        <v>0</v>
      </c>
      <c r="J195" s="928">
        <f t="shared" si="37"/>
        <v>0</v>
      </c>
      <c r="L195" s="754"/>
      <c r="M195" s="754">
        <f t="shared" si="38"/>
        <v>0</v>
      </c>
      <c r="N195" s="754"/>
      <c r="O195" s="754"/>
      <c r="P195" s="754"/>
      <c r="Q195" s="754"/>
      <c r="R195" s="754"/>
    </row>
    <row r="196" spans="2:18" s="755" customFormat="1" x14ac:dyDescent="0.2">
      <c r="B196" s="958" t="s">
        <v>722</v>
      </c>
      <c r="C196" s="3008"/>
      <c r="D196" s="3009"/>
      <c r="E196" s="1006"/>
      <c r="F196" s="1090"/>
      <c r="G196" s="1510"/>
      <c r="H196" s="1073">
        <f t="shared" si="36"/>
        <v>0</v>
      </c>
      <c r="I196" s="960">
        <f t="shared" si="39"/>
        <v>0</v>
      </c>
      <c r="J196" s="928">
        <f t="shared" si="37"/>
        <v>0</v>
      </c>
      <c r="L196" s="754"/>
      <c r="M196" s="754">
        <f t="shared" si="38"/>
        <v>0</v>
      </c>
      <c r="N196" s="754"/>
      <c r="O196" s="754"/>
      <c r="P196" s="754"/>
      <c r="Q196" s="754"/>
      <c r="R196" s="754"/>
    </row>
    <row r="197" spans="2:18" s="755" customFormat="1" x14ac:dyDescent="0.2">
      <c r="B197" s="1074"/>
      <c r="C197" s="866"/>
      <c r="D197" s="866"/>
      <c r="E197" s="1075"/>
      <c r="F197" s="1076"/>
      <c r="G197" s="1077">
        <f>SUM(M187:M196)</f>
        <v>0</v>
      </c>
      <c r="H197" s="867" t="s">
        <v>283</v>
      </c>
      <c r="I197" s="820">
        <f>SUM(I187:I196)</f>
        <v>0</v>
      </c>
      <c r="J197" s="821">
        <f>SUM(J187:J196)</f>
        <v>0</v>
      </c>
      <c r="L197" s="754"/>
      <c r="M197" s="754"/>
      <c r="N197" s="754"/>
      <c r="O197" s="754"/>
      <c r="P197" s="754"/>
      <c r="Q197" s="754"/>
      <c r="R197" s="754"/>
    </row>
    <row r="198" spans="2:18" s="842" customFormat="1" ht="15" x14ac:dyDescent="0.2">
      <c r="B198" s="836"/>
      <c r="C198" s="837"/>
      <c r="D198" s="837"/>
      <c r="E198" s="837"/>
      <c r="F198" s="836"/>
      <c r="G198" s="836"/>
      <c r="H198" s="837"/>
      <c r="I198" s="967"/>
      <c r="J198" s="967"/>
      <c r="L198" s="840"/>
      <c r="M198" s="754"/>
      <c r="N198" s="840"/>
      <c r="O198" s="840"/>
      <c r="P198" s="840"/>
      <c r="Q198" s="840"/>
      <c r="R198" s="840"/>
    </row>
    <row r="199" spans="2:18" s="842" customFormat="1" ht="15" x14ac:dyDescent="0.2">
      <c r="B199" s="968"/>
      <c r="C199" s="1092"/>
      <c r="D199" s="1092"/>
      <c r="E199" s="1092"/>
      <c r="F199" s="968"/>
      <c r="G199" s="968"/>
      <c r="H199" s="1092"/>
      <c r="I199" s="981"/>
      <c r="J199" s="981"/>
      <c r="L199" s="840"/>
      <c r="M199" s="754"/>
      <c r="N199" s="840"/>
      <c r="O199" s="840"/>
      <c r="P199" s="840"/>
      <c r="Q199" s="840"/>
      <c r="R199" s="840"/>
    </row>
    <row r="200" spans="2:18" s="682" customFormat="1" ht="21" customHeight="1" x14ac:dyDescent="0.25">
      <c r="B200" s="710" t="s">
        <v>762</v>
      </c>
      <c r="C200" s="1066"/>
      <c r="D200" s="1066"/>
      <c r="E200" s="712"/>
      <c r="F200" s="714"/>
      <c r="G200" s="714"/>
      <c r="H200" s="714"/>
      <c r="I200" s="714"/>
      <c r="J200" s="1067"/>
      <c r="L200" s="685"/>
      <c r="M200" s="754"/>
      <c r="N200" s="685"/>
      <c r="O200" s="685"/>
      <c r="P200" s="685"/>
      <c r="Q200" s="685"/>
      <c r="R200" s="685"/>
    </row>
    <row r="201" spans="2:18" s="736" customFormat="1" x14ac:dyDescent="0.2">
      <c r="B201" s="809"/>
      <c r="C201" s="3030" t="s">
        <v>621</v>
      </c>
      <c r="D201" s="3031"/>
      <c r="E201" s="3031"/>
      <c r="F201" s="3032"/>
      <c r="G201" s="810" t="s">
        <v>724</v>
      </c>
      <c r="H201" s="1068" t="s">
        <v>442</v>
      </c>
      <c r="I201" s="1069" t="s">
        <v>443</v>
      </c>
      <c r="J201" s="1070" t="s">
        <v>443</v>
      </c>
      <c r="L201" s="734"/>
      <c r="M201" s="754"/>
      <c r="N201" s="734"/>
      <c r="O201" s="734"/>
      <c r="P201" s="734"/>
      <c r="Q201" s="734"/>
      <c r="R201" s="734"/>
    </row>
    <row r="202" spans="2:18" s="747" customFormat="1" x14ac:dyDescent="0.2">
      <c r="B202" s="849"/>
      <c r="C202" s="1110"/>
      <c r="D202" s="1098"/>
      <c r="E202" s="1119"/>
      <c r="F202" s="1118"/>
      <c r="G202" s="1100" t="s">
        <v>1018</v>
      </c>
      <c r="H202" s="1101" t="s">
        <v>448</v>
      </c>
      <c r="I202" s="1101" t="s">
        <v>445</v>
      </c>
      <c r="J202" s="1102" t="s">
        <v>315</v>
      </c>
      <c r="L202" s="745"/>
      <c r="M202" s="754"/>
      <c r="N202" s="745"/>
      <c r="O202" s="745"/>
      <c r="P202" s="745"/>
      <c r="Q202" s="745"/>
      <c r="R202" s="745"/>
    </row>
    <row r="203" spans="2:18" s="755" customFormat="1" x14ac:dyDescent="0.2">
      <c r="B203" s="958" t="s">
        <v>547</v>
      </c>
      <c r="C203" s="3008"/>
      <c r="D203" s="3056"/>
      <c r="E203" s="3056"/>
      <c r="F203" s="3009"/>
      <c r="G203" s="1508"/>
      <c r="H203" s="1073">
        <v>1</v>
      </c>
      <c r="I203" s="960">
        <f>IF(C203&lt;&gt;"",H203,0)</f>
        <v>0</v>
      </c>
      <c r="J203" s="928">
        <f>I203/15</f>
        <v>0</v>
      </c>
      <c r="L203" s="754"/>
      <c r="M203" s="754">
        <f>IF(G203&lt;&gt;"",IF(AND(G203&gt;=$M$13,G203&lt;=$N$13),1,0),0)</f>
        <v>0</v>
      </c>
      <c r="N203" s="754"/>
      <c r="O203" s="754"/>
      <c r="P203" s="754"/>
      <c r="Q203" s="754"/>
      <c r="R203" s="754"/>
    </row>
    <row r="204" spans="2:18" s="755" customFormat="1" x14ac:dyDescent="0.2">
      <c r="B204" s="958" t="s">
        <v>548</v>
      </c>
      <c r="C204" s="3008"/>
      <c r="D204" s="3056"/>
      <c r="E204" s="3056"/>
      <c r="F204" s="3009"/>
      <c r="G204" s="1508"/>
      <c r="H204" s="1073">
        <v>1</v>
      </c>
      <c r="I204" s="960">
        <f>IF(C204&lt;&gt;"",H204,0)</f>
        <v>0</v>
      </c>
      <c r="J204" s="928">
        <f>I204/15</f>
        <v>0</v>
      </c>
      <c r="L204" s="754"/>
      <c r="M204" s="754">
        <f>IF(G204&lt;&gt;"",IF(AND(G204&gt;=$M$13,G204&lt;=$N$13),1,0),0)</f>
        <v>0</v>
      </c>
      <c r="N204" s="754"/>
      <c r="O204" s="754"/>
      <c r="P204" s="754"/>
      <c r="Q204" s="754"/>
      <c r="R204" s="754"/>
    </row>
    <row r="205" spans="2:18" s="755" customFormat="1" x14ac:dyDescent="0.2">
      <c r="B205" s="958" t="s">
        <v>549</v>
      </c>
      <c r="C205" s="3008"/>
      <c r="D205" s="3056"/>
      <c r="E205" s="3056"/>
      <c r="F205" s="3009"/>
      <c r="G205" s="1508"/>
      <c r="H205" s="1073">
        <v>1</v>
      </c>
      <c r="I205" s="960">
        <f>IF(C205&lt;&gt;"",H205,0)</f>
        <v>0</v>
      </c>
      <c r="J205" s="928">
        <f>I205/15</f>
        <v>0</v>
      </c>
      <c r="L205" s="754"/>
      <c r="M205" s="754">
        <f>IF(G205&lt;&gt;"",IF(AND(G205&gt;=$M$13,G205&lt;=$N$13),1,0),0)</f>
        <v>0</v>
      </c>
      <c r="N205" s="754"/>
      <c r="O205" s="754"/>
      <c r="P205" s="754"/>
      <c r="Q205" s="754"/>
      <c r="R205" s="754"/>
    </row>
    <row r="206" spans="2:18" s="755" customFormat="1" x14ac:dyDescent="0.2">
      <c r="B206" s="958" t="s">
        <v>550</v>
      </c>
      <c r="C206" s="3008"/>
      <c r="D206" s="3056"/>
      <c r="E206" s="3056"/>
      <c r="F206" s="3009"/>
      <c r="G206" s="1508"/>
      <c r="H206" s="1073">
        <v>1</v>
      </c>
      <c r="I206" s="960">
        <f>IF(C206&lt;&gt;"",H206,0)</f>
        <v>0</v>
      </c>
      <c r="J206" s="928">
        <f>I206/15</f>
        <v>0</v>
      </c>
      <c r="L206" s="754"/>
      <c r="M206" s="754">
        <f>IF(G206&lt;&gt;"",IF(AND(G206&gt;=$M$13,G206&lt;=$N$13),1,0),0)</f>
        <v>0</v>
      </c>
      <c r="N206" s="754"/>
      <c r="O206" s="754"/>
      <c r="P206" s="754"/>
      <c r="Q206" s="754"/>
      <c r="R206" s="754"/>
    </row>
    <row r="207" spans="2:18" s="755" customFormat="1" x14ac:dyDescent="0.2">
      <c r="B207" s="958" t="s">
        <v>551</v>
      </c>
      <c r="C207" s="3008"/>
      <c r="D207" s="3056"/>
      <c r="E207" s="3056"/>
      <c r="F207" s="3009"/>
      <c r="G207" s="1508"/>
      <c r="H207" s="1073">
        <v>1</v>
      </c>
      <c r="I207" s="960">
        <f>IF(C207&lt;&gt;"",H207,0)</f>
        <v>0</v>
      </c>
      <c r="J207" s="928">
        <f>I207/15</f>
        <v>0</v>
      </c>
      <c r="L207" s="754"/>
      <c r="M207" s="754">
        <f>IF(G207&lt;&gt;"",IF(AND(G207&gt;=$M$13,G207&lt;=$N$13),1,0),0)</f>
        <v>0</v>
      </c>
      <c r="N207" s="754"/>
      <c r="O207" s="754"/>
      <c r="P207" s="754"/>
      <c r="Q207" s="754"/>
      <c r="R207" s="754"/>
    </row>
    <row r="208" spans="2:18" s="755" customFormat="1" x14ac:dyDescent="0.2">
      <c r="B208" s="1074"/>
      <c r="C208" s="866"/>
      <c r="D208" s="866"/>
      <c r="E208" s="1075"/>
      <c r="F208" s="1076"/>
      <c r="G208" s="1077">
        <f>SUM(M203:M207)</f>
        <v>0</v>
      </c>
      <c r="H208" s="867" t="s">
        <v>283</v>
      </c>
      <c r="I208" s="820">
        <f>SUM(I203:I207)</f>
        <v>0</v>
      </c>
      <c r="J208" s="821">
        <f>SUM(J203:J207)</f>
        <v>0</v>
      </c>
      <c r="L208" s="754"/>
      <c r="M208" s="754"/>
      <c r="N208" s="754"/>
      <c r="O208" s="754"/>
      <c r="P208" s="754"/>
      <c r="Q208" s="754"/>
      <c r="R208" s="754"/>
    </row>
    <row r="209" spans="2:18" s="842" customFormat="1" ht="15" x14ac:dyDescent="0.2">
      <c r="B209" s="968"/>
      <c r="C209" s="1092"/>
      <c r="D209" s="1092"/>
      <c r="E209" s="1092"/>
      <c r="F209" s="968"/>
      <c r="G209" s="968"/>
      <c r="H209" s="1092"/>
      <c r="I209" s="981"/>
      <c r="J209" s="981"/>
      <c r="L209" s="840"/>
      <c r="M209" s="754"/>
      <c r="N209" s="840"/>
      <c r="O209" s="840"/>
      <c r="P209" s="840"/>
      <c r="Q209" s="840"/>
      <c r="R209" s="840"/>
    </row>
    <row r="210" spans="2:18" s="842" customFormat="1" ht="15" x14ac:dyDescent="0.2">
      <c r="B210" s="968"/>
      <c r="C210" s="1092"/>
      <c r="D210" s="1092"/>
      <c r="E210" s="1092"/>
      <c r="F210" s="968"/>
      <c r="G210" s="968"/>
      <c r="H210" s="1092"/>
      <c r="I210" s="981"/>
      <c r="J210" s="981"/>
      <c r="L210" s="840"/>
      <c r="M210" s="754"/>
      <c r="N210" s="840"/>
      <c r="O210" s="840"/>
      <c r="P210" s="840"/>
      <c r="Q210" s="840"/>
      <c r="R210" s="840"/>
    </row>
    <row r="211" spans="2:18" s="682" customFormat="1" ht="21" customHeight="1" x14ac:dyDescent="0.25">
      <c r="B211" s="710" t="s">
        <v>763</v>
      </c>
      <c r="C211" s="1066"/>
      <c r="D211" s="1066"/>
      <c r="E211" s="712"/>
      <c r="F211" s="714"/>
      <c r="G211" s="714"/>
      <c r="H211" s="714"/>
      <c r="I211" s="714"/>
      <c r="J211" s="1067"/>
      <c r="L211" s="685"/>
      <c r="M211" s="754"/>
      <c r="N211" s="685"/>
      <c r="O211" s="685"/>
      <c r="P211" s="685"/>
      <c r="Q211" s="685"/>
      <c r="R211" s="685"/>
    </row>
    <row r="212" spans="2:18" s="736" customFormat="1" x14ac:dyDescent="0.2">
      <c r="B212" s="809"/>
      <c r="C212" s="3030" t="s">
        <v>764</v>
      </c>
      <c r="D212" s="3031"/>
      <c r="E212" s="3032"/>
      <c r="F212" s="1003" t="s">
        <v>563</v>
      </c>
      <c r="G212" s="810" t="s">
        <v>724</v>
      </c>
      <c r="H212" s="1068" t="s">
        <v>442</v>
      </c>
      <c r="I212" s="1069" t="s">
        <v>443</v>
      </c>
      <c r="J212" s="1070" t="s">
        <v>443</v>
      </c>
      <c r="L212" s="734"/>
      <c r="M212" s="754"/>
      <c r="N212" s="734"/>
      <c r="O212" s="734"/>
      <c r="P212" s="734"/>
      <c r="Q212" s="734"/>
      <c r="R212" s="734"/>
    </row>
    <row r="213" spans="2:18" s="747" customFormat="1" x14ac:dyDescent="0.2">
      <c r="B213" s="737"/>
      <c r="C213" s="3128"/>
      <c r="D213" s="3129"/>
      <c r="E213" s="3130"/>
      <c r="F213" s="739" t="s">
        <v>765</v>
      </c>
      <c r="G213" s="1100" t="s">
        <v>1018</v>
      </c>
      <c r="H213" s="1101" t="s">
        <v>448</v>
      </c>
      <c r="I213" s="858" t="s">
        <v>445</v>
      </c>
      <c r="J213" s="859" t="s">
        <v>315</v>
      </c>
      <c r="L213" s="745"/>
      <c r="M213" s="754"/>
      <c r="N213" s="745"/>
      <c r="O213" s="745"/>
      <c r="P213" s="745"/>
      <c r="Q213" s="745"/>
      <c r="R213" s="745"/>
    </row>
    <row r="214" spans="2:18" s="755" customFormat="1" x14ac:dyDescent="0.2">
      <c r="B214" s="958" t="s">
        <v>547</v>
      </c>
      <c r="C214" s="3008"/>
      <c r="D214" s="3056"/>
      <c r="E214" s="3009"/>
      <c r="F214" s="1090"/>
      <c r="G214" s="1510"/>
      <c r="H214" s="1073">
        <v>1</v>
      </c>
      <c r="I214" s="960">
        <f>IF(F214&gt;3,3,IF(F214&lt;&gt;0,F214*H214,0))</f>
        <v>0</v>
      </c>
      <c r="J214" s="928">
        <f>I214/15</f>
        <v>0</v>
      </c>
      <c r="L214" s="754"/>
      <c r="M214" s="754">
        <f>IF(G214&lt;&gt;"",IF(AND(G214&gt;=$M$13,G214&lt;=$N$13),1,0),0)</f>
        <v>0</v>
      </c>
      <c r="N214" s="754"/>
      <c r="O214" s="754"/>
      <c r="P214" s="754"/>
      <c r="Q214" s="754"/>
      <c r="R214" s="754"/>
    </row>
    <row r="215" spans="2:18" s="755" customFormat="1" x14ac:dyDescent="0.2">
      <c r="B215" s="958" t="s">
        <v>548</v>
      </c>
      <c r="C215" s="3008"/>
      <c r="D215" s="3056"/>
      <c r="E215" s="3009"/>
      <c r="F215" s="1090"/>
      <c r="G215" s="1510"/>
      <c r="H215" s="1073">
        <v>1</v>
      </c>
      <c r="I215" s="960">
        <f>IF(F215&gt;3,3,IF(F215&lt;&gt;0,F215*H215,0))</f>
        <v>0</v>
      </c>
      <c r="J215" s="928">
        <f>I215/15</f>
        <v>0</v>
      </c>
      <c r="L215" s="754"/>
      <c r="M215" s="754">
        <f>IF(G215&lt;&gt;"",IF(AND(G215&gt;=$M$13,G215&lt;=$N$13),1,0),0)</f>
        <v>0</v>
      </c>
      <c r="N215" s="754"/>
      <c r="O215" s="754"/>
      <c r="P215" s="754"/>
      <c r="Q215" s="754"/>
      <c r="R215" s="754"/>
    </row>
    <row r="216" spans="2:18" s="755" customFormat="1" x14ac:dyDescent="0.2">
      <c r="B216" s="958" t="s">
        <v>549</v>
      </c>
      <c r="C216" s="3008"/>
      <c r="D216" s="3056"/>
      <c r="E216" s="3009"/>
      <c r="F216" s="1090"/>
      <c r="G216" s="1510"/>
      <c r="H216" s="1073">
        <v>1</v>
      </c>
      <c r="I216" s="960">
        <f>IF(F216&gt;3,3,IF(F216&lt;&gt;0,F216*H216,0))</f>
        <v>0</v>
      </c>
      <c r="J216" s="928">
        <f>I216/15</f>
        <v>0</v>
      </c>
      <c r="L216" s="754"/>
      <c r="M216" s="754">
        <f>IF(G216&lt;&gt;"",IF(AND(G216&gt;=$M$13,G216&lt;=$N$13),1,0),0)</f>
        <v>0</v>
      </c>
      <c r="N216" s="754"/>
      <c r="O216" s="754"/>
      <c r="P216" s="754"/>
      <c r="Q216" s="754"/>
      <c r="R216" s="754"/>
    </row>
    <row r="217" spans="2:18" s="755" customFormat="1" x14ac:dyDescent="0.2">
      <c r="B217" s="958" t="s">
        <v>550</v>
      </c>
      <c r="C217" s="3008"/>
      <c r="D217" s="3056"/>
      <c r="E217" s="3009"/>
      <c r="F217" s="1090"/>
      <c r="G217" s="1510"/>
      <c r="H217" s="1073">
        <v>1</v>
      </c>
      <c r="I217" s="960">
        <f>IF(F217&gt;3,3,IF(F217&lt;&gt;0,F217*H217,0))</f>
        <v>0</v>
      </c>
      <c r="J217" s="928">
        <f>I217/15</f>
        <v>0</v>
      </c>
      <c r="L217" s="754"/>
      <c r="M217" s="754">
        <f>IF(G217&lt;&gt;"",IF(AND(G217&gt;=$M$13,G217&lt;=$N$13),1,0),0)</f>
        <v>0</v>
      </c>
      <c r="N217" s="754"/>
      <c r="O217" s="754"/>
      <c r="P217" s="754"/>
      <c r="Q217" s="754"/>
      <c r="R217" s="754"/>
    </row>
    <row r="218" spans="2:18" s="755" customFormat="1" x14ac:dyDescent="0.2">
      <c r="B218" s="958" t="s">
        <v>551</v>
      </c>
      <c r="C218" s="3008"/>
      <c r="D218" s="3056"/>
      <c r="E218" s="3009"/>
      <c r="F218" s="1090"/>
      <c r="G218" s="1510"/>
      <c r="H218" s="1073">
        <v>1</v>
      </c>
      <c r="I218" s="960">
        <f>IF(F218&gt;3,3,IF(F218&lt;&gt;0,F218*H218,0))</f>
        <v>0</v>
      </c>
      <c r="J218" s="928">
        <f>I218/15</f>
        <v>0</v>
      </c>
      <c r="L218" s="754"/>
      <c r="M218" s="754">
        <f>IF(G218&lt;&gt;"",IF(AND(G218&gt;=$M$13,G218&lt;=$N$13),1,0),0)</f>
        <v>0</v>
      </c>
      <c r="N218" s="754"/>
      <c r="O218" s="754"/>
      <c r="P218" s="754"/>
      <c r="Q218" s="754"/>
      <c r="R218" s="754"/>
    </row>
    <row r="219" spans="2:18" s="755" customFormat="1" x14ac:dyDescent="0.2">
      <c r="B219" s="1120" t="s">
        <v>766</v>
      </c>
      <c r="C219" s="866"/>
      <c r="D219" s="866"/>
      <c r="E219" s="1075"/>
      <c r="F219" s="1076"/>
      <c r="G219" s="1077">
        <f>SUM(M214:M218)</f>
        <v>0</v>
      </c>
      <c r="H219" s="867" t="s">
        <v>283</v>
      </c>
      <c r="I219" s="820">
        <f>SUM(I214:I218)</f>
        <v>0</v>
      </c>
      <c r="J219" s="821">
        <f>SUM(J214:J218)</f>
        <v>0</v>
      </c>
      <c r="L219" s="754"/>
      <c r="M219" s="754"/>
      <c r="N219" s="754"/>
      <c r="O219" s="754"/>
      <c r="P219" s="754"/>
      <c r="Q219" s="754"/>
      <c r="R219" s="754"/>
    </row>
    <row r="220" spans="2:18" s="842" customFormat="1" ht="15" x14ac:dyDescent="0.2">
      <c r="B220" s="1121"/>
      <c r="C220" s="837"/>
      <c r="D220" s="837"/>
      <c r="E220" s="1122"/>
      <c r="F220" s="836"/>
      <c r="G220" s="836"/>
      <c r="H220" s="837"/>
      <c r="I220" s="967"/>
      <c r="J220" s="967"/>
      <c r="L220" s="840"/>
      <c r="M220" s="754"/>
      <c r="N220" s="840"/>
      <c r="O220" s="840"/>
      <c r="P220" s="840"/>
      <c r="Q220" s="840"/>
      <c r="R220" s="840"/>
    </row>
    <row r="221" spans="2:18" s="842" customFormat="1" ht="15" x14ac:dyDescent="0.2">
      <c r="B221" s="945"/>
      <c r="C221" s="1093"/>
      <c r="D221" s="1093"/>
      <c r="E221" s="1093"/>
      <c r="F221" s="945"/>
      <c r="G221" s="945"/>
      <c r="H221" s="1093"/>
      <c r="I221" s="980"/>
      <c r="J221" s="980"/>
      <c r="L221" s="840"/>
      <c r="M221" s="754"/>
      <c r="N221" s="840"/>
      <c r="O221" s="840"/>
      <c r="P221" s="840"/>
      <c r="Q221" s="840"/>
      <c r="R221" s="840"/>
    </row>
    <row r="222" spans="2:18" s="682" customFormat="1" ht="21" customHeight="1" x14ac:dyDescent="0.25">
      <c r="B222" s="710" t="s">
        <v>767</v>
      </c>
      <c r="C222" s="1066"/>
      <c r="D222" s="1066"/>
      <c r="E222" s="712"/>
      <c r="F222" s="714"/>
      <c r="G222" s="714"/>
      <c r="H222" s="714"/>
      <c r="I222" s="714"/>
      <c r="J222" s="1067"/>
      <c r="L222" s="685"/>
      <c r="M222" s="754"/>
      <c r="N222" s="685"/>
      <c r="O222" s="685"/>
      <c r="P222" s="685"/>
      <c r="Q222" s="685"/>
      <c r="R222" s="685"/>
    </row>
    <row r="223" spans="2:18" s="736" customFormat="1" x14ac:dyDescent="0.2">
      <c r="B223" s="809"/>
      <c r="C223" s="3030" t="s">
        <v>676</v>
      </c>
      <c r="D223" s="3031"/>
      <c r="E223" s="3031"/>
      <c r="F223" s="3032"/>
      <c r="G223" s="810" t="s">
        <v>724</v>
      </c>
      <c r="H223" s="1068" t="s">
        <v>442</v>
      </c>
      <c r="I223" s="1069" t="s">
        <v>443</v>
      </c>
      <c r="J223" s="1070" t="s">
        <v>443</v>
      </c>
      <c r="L223" s="734"/>
      <c r="M223" s="754"/>
      <c r="N223" s="734"/>
      <c r="O223" s="734"/>
      <c r="P223" s="734"/>
      <c r="Q223" s="734"/>
      <c r="R223" s="734"/>
    </row>
    <row r="224" spans="2:18" s="747" customFormat="1" x14ac:dyDescent="0.2">
      <c r="B224" s="849"/>
      <c r="C224" s="3137"/>
      <c r="D224" s="3138"/>
      <c r="E224" s="3138"/>
      <c r="F224" s="1118"/>
      <c r="G224" s="1100" t="s">
        <v>1018</v>
      </c>
      <c r="H224" s="1101" t="s">
        <v>448</v>
      </c>
      <c r="I224" s="1101" t="s">
        <v>445</v>
      </c>
      <c r="J224" s="1102" t="s">
        <v>315</v>
      </c>
      <c r="L224" s="745"/>
      <c r="M224" s="754"/>
      <c r="N224" s="745"/>
      <c r="O224" s="745"/>
      <c r="P224" s="745"/>
      <c r="Q224" s="745"/>
      <c r="R224" s="745"/>
    </row>
    <row r="225" spans="2:18" s="755" customFormat="1" x14ac:dyDescent="0.2">
      <c r="B225" s="958" t="s">
        <v>547</v>
      </c>
      <c r="C225" s="3008"/>
      <c r="D225" s="3056"/>
      <c r="E225" s="3056"/>
      <c r="F225" s="3009"/>
      <c r="G225" s="1508"/>
      <c r="H225" s="1073">
        <v>6</v>
      </c>
      <c r="I225" s="960">
        <f>IF(C225&lt;&gt;"",H225,0)</f>
        <v>0</v>
      </c>
      <c r="J225" s="928">
        <f>I225/15</f>
        <v>0</v>
      </c>
      <c r="L225" s="754"/>
      <c r="M225" s="754">
        <f>IF(G225&lt;&gt;"",IF(AND(G225&gt;=$M$13,G225&lt;=$N$13),1,0),0)</f>
        <v>0</v>
      </c>
      <c r="N225" s="754"/>
      <c r="O225" s="754"/>
      <c r="P225" s="754"/>
      <c r="Q225" s="754"/>
      <c r="R225" s="754"/>
    </row>
    <row r="226" spans="2:18" s="755" customFormat="1" x14ac:dyDescent="0.2">
      <c r="B226" s="958" t="s">
        <v>548</v>
      </c>
      <c r="C226" s="3008"/>
      <c r="D226" s="3056"/>
      <c r="E226" s="3056"/>
      <c r="F226" s="3009"/>
      <c r="G226" s="1508"/>
      <c r="H226" s="1073">
        <v>6</v>
      </c>
      <c r="I226" s="960">
        <f>IF(C226&lt;&gt;"",H226,0)</f>
        <v>0</v>
      </c>
      <c r="J226" s="928">
        <f>I226/15</f>
        <v>0</v>
      </c>
      <c r="L226" s="754"/>
      <c r="M226" s="754">
        <f>IF(G226&lt;&gt;"",IF(AND(G226&gt;=$M$13,G226&lt;=$N$13),1,0),0)</f>
        <v>0</v>
      </c>
      <c r="N226" s="754"/>
      <c r="O226" s="754"/>
      <c r="P226" s="754"/>
      <c r="Q226" s="754"/>
      <c r="R226" s="754"/>
    </row>
    <row r="227" spans="2:18" s="755" customFormat="1" x14ac:dyDescent="0.2">
      <c r="B227" s="958" t="s">
        <v>549</v>
      </c>
      <c r="C227" s="3008"/>
      <c r="D227" s="3056"/>
      <c r="E227" s="3056"/>
      <c r="F227" s="3009"/>
      <c r="G227" s="1508"/>
      <c r="H227" s="1073">
        <v>6</v>
      </c>
      <c r="I227" s="960">
        <f>IF(C227&lt;&gt;"",H227,0)</f>
        <v>0</v>
      </c>
      <c r="J227" s="928">
        <f>I227/15</f>
        <v>0</v>
      </c>
      <c r="L227" s="754"/>
      <c r="M227" s="754">
        <f>IF(G227&lt;&gt;"",IF(AND(G227&gt;=$M$13,G227&lt;=$N$13),1,0),0)</f>
        <v>0</v>
      </c>
      <c r="N227" s="754"/>
      <c r="O227" s="754"/>
      <c r="P227" s="754"/>
      <c r="Q227" s="754"/>
      <c r="R227" s="754"/>
    </row>
    <row r="228" spans="2:18" s="755" customFormat="1" x14ac:dyDescent="0.2">
      <c r="B228" s="958" t="s">
        <v>550</v>
      </c>
      <c r="C228" s="3008"/>
      <c r="D228" s="3056"/>
      <c r="E228" s="3056"/>
      <c r="F228" s="3009"/>
      <c r="G228" s="1508"/>
      <c r="H228" s="1073">
        <v>6</v>
      </c>
      <c r="I228" s="960">
        <f>IF(C228&lt;&gt;"",H228,0)</f>
        <v>0</v>
      </c>
      <c r="J228" s="928">
        <f>I228/15</f>
        <v>0</v>
      </c>
      <c r="L228" s="754"/>
      <c r="M228" s="754">
        <f>IF(G228&lt;&gt;"",IF(AND(G228&gt;=$M$13,G228&lt;=$N$13),1,0),0)</f>
        <v>0</v>
      </c>
      <c r="N228" s="754"/>
      <c r="O228" s="754"/>
      <c r="P228" s="754"/>
      <c r="Q228" s="754"/>
      <c r="R228" s="754"/>
    </row>
    <row r="229" spans="2:18" s="755" customFormat="1" x14ac:dyDescent="0.2">
      <c r="B229" s="958" t="s">
        <v>551</v>
      </c>
      <c r="C229" s="3008"/>
      <c r="D229" s="3056"/>
      <c r="E229" s="3056"/>
      <c r="F229" s="3009"/>
      <c r="G229" s="1508"/>
      <c r="H229" s="1073">
        <v>6</v>
      </c>
      <c r="I229" s="960">
        <f>IF(C229&lt;&gt;"",H229,0)</f>
        <v>0</v>
      </c>
      <c r="J229" s="928">
        <f>I229/15</f>
        <v>0</v>
      </c>
      <c r="L229" s="754"/>
      <c r="M229" s="754">
        <f>IF(G229&lt;&gt;"",IF(AND(G229&gt;=$M$13,G229&lt;=$N$13),1,0),0)</f>
        <v>0</v>
      </c>
      <c r="N229" s="754"/>
      <c r="O229" s="754"/>
      <c r="P229" s="754"/>
      <c r="Q229" s="754"/>
      <c r="R229" s="754"/>
    </row>
    <row r="230" spans="2:18" s="755" customFormat="1" x14ac:dyDescent="0.2">
      <c r="B230" s="1074"/>
      <c r="C230" s="866"/>
      <c r="D230" s="866"/>
      <c r="E230" s="1075"/>
      <c r="F230" s="1076"/>
      <c r="G230" s="1077">
        <f>SUM(M225:M229)</f>
        <v>0</v>
      </c>
      <c r="H230" s="867" t="s">
        <v>283</v>
      </c>
      <c r="I230" s="820">
        <f>SUM(I225:I229)</f>
        <v>0</v>
      </c>
      <c r="J230" s="821">
        <f>SUM(J225:J229)</f>
        <v>0</v>
      </c>
      <c r="L230" s="754"/>
      <c r="M230" s="754"/>
      <c r="N230" s="754"/>
      <c r="O230" s="754"/>
      <c r="P230" s="754"/>
      <c r="Q230" s="754"/>
      <c r="R230" s="754"/>
    </row>
    <row r="231" spans="2:18" s="842" customFormat="1" ht="15" x14ac:dyDescent="0.2">
      <c r="B231" s="968"/>
      <c r="C231" s="1092"/>
      <c r="D231" s="1092"/>
      <c r="E231" s="1092"/>
      <c r="F231" s="968"/>
      <c r="G231" s="968"/>
      <c r="H231" s="1092"/>
      <c r="I231" s="981"/>
      <c r="J231" s="981"/>
      <c r="L231" s="840"/>
      <c r="M231" s="754"/>
      <c r="N231" s="840"/>
      <c r="O231" s="840"/>
      <c r="P231" s="840"/>
      <c r="Q231" s="840"/>
      <c r="R231" s="840"/>
    </row>
    <row r="232" spans="2:18" s="842" customFormat="1" ht="15" x14ac:dyDescent="0.2">
      <c r="B232" s="945"/>
      <c r="C232" s="1093"/>
      <c r="D232" s="1093"/>
      <c r="E232" s="1093"/>
      <c r="F232" s="945"/>
      <c r="G232" s="945"/>
      <c r="H232" s="1093"/>
      <c r="I232" s="980"/>
      <c r="J232" s="980"/>
      <c r="L232" s="840"/>
      <c r="M232" s="754"/>
      <c r="N232" s="840"/>
      <c r="O232" s="840"/>
      <c r="P232" s="840"/>
      <c r="Q232" s="840"/>
      <c r="R232" s="840"/>
    </row>
    <row r="233" spans="2:18" s="682" customFormat="1" ht="21" customHeight="1" x14ac:dyDescent="0.25">
      <c r="B233" s="710" t="s">
        <v>768</v>
      </c>
      <c r="C233" s="1066"/>
      <c r="D233" s="1066"/>
      <c r="E233" s="712"/>
      <c r="F233" s="714"/>
      <c r="G233" s="714"/>
      <c r="H233" s="714"/>
      <c r="I233" s="714"/>
      <c r="J233" s="1067"/>
      <c r="L233" s="685"/>
      <c r="M233" s="754"/>
      <c r="N233" s="685"/>
      <c r="O233" s="685"/>
      <c r="P233" s="685"/>
      <c r="Q233" s="685"/>
      <c r="R233" s="685"/>
    </row>
    <row r="234" spans="2:18" s="736" customFormat="1" x14ac:dyDescent="0.2">
      <c r="B234" s="809"/>
      <c r="C234" s="3030" t="s">
        <v>769</v>
      </c>
      <c r="D234" s="3031"/>
      <c r="E234" s="3032"/>
      <c r="F234" s="1003" t="s">
        <v>543</v>
      </c>
      <c r="G234" s="810" t="s">
        <v>724</v>
      </c>
      <c r="H234" s="1068" t="s">
        <v>442</v>
      </c>
      <c r="I234" s="1069" t="s">
        <v>443</v>
      </c>
      <c r="J234" s="1070" t="s">
        <v>443</v>
      </c>
      <c r="L234" s="734"/>
      <c r="M234" s="754"/>
      <c r="N234" s="734"/>
      <c r="O234" s="734"/>
      <c r="P234" s="734"/>
      <c r="Q234" s="734"/>
      <c r="R234" s="734"/>
    </row>
    <row r="235" spans="2:18" s="747" customFormat="1" x14ac:dyDescent="0.2">
      <c r="B235" s="737"/>
      <c r="C235" s="3128"/>
      <c r="D235" s="3129"/>
      <c r="E235" s="3130"/>
      <c r="F235" s="906"/>
      <c r="G235" s="1100" t="s">
        <v>1018</v>
      </c>
      <c r="H235" s="1101" t="s">
        <v>448</v>
      </c>
      <c r="I235" s="858" t="s">
        <v>445</v>
      </c>
      <c r="J235" s="859" t="s">
        <v>315</v>
      </c>
      <c r="L235" s="745"/>
      <c r="M235" s="754"/>
      <c r="N235" s="745"/>
      <c r="O235" s="745"/>
      <c r="P235" s="745"/>
      <c r="Q235" s="745"/>
      <c r="R235" s="745"/>
    </row>
    <row r="236" spans="2:18" s="755" customFormat="1" x14ac:dyDescent="0.2">
      <c r="B236" s="958" t="s">
        <v>547</v>
      </c>
      <c r="C236" s="3008"/>
      <c r="D236" s="3056"/>
      <c r="E236" s="3009"/>
      <c r="F236" s="1090"/>
      <c r="G236" s="1510"/>
      <c r="H236" s="1073">
        <v>3</v>
      </c>
      <c r="I236" s="960">
        <f>F236*H236</f>
        <v>0</v>
      </c>
      <c r="J236" s="928">
        <f>I236/15</f>
        <v>0</v>
      </c>
      <c r="L236" s="754"/>
      <c r="M236" s="754">
        <f>IF(G236&lt;&gt;"",IF(AND(G236&gt;=$M$13,G236&lt;=$N$13),1,0),0)</f>
        <v>0</v>
      </c>
      <c r="N236" s="754"/>
      <c r="O236" s="754"/>
      <c r="P236" s="754"/>
      <c r="Q236" s="754"/>
      <c r="R236" s="754"/>
    </row>
    <row r="237" spans="2:18" s="755" customFormat="1" x14ac:dyDescent="0.2">
      <c r="B237" s="958" t="s">
        <v>548</v>
      </c>
      <c r="C237" s="3008"/>
      <c r="D237" s="3056"/>
      <c r="E237" s="3009"/>
      <c r="F237" s="1090"/>
      <c r="G237" s="1510"/>
      <c r="H237" s="1073">
        <v>3</v>
      </c>
      <c r="I237" s="960">
        <f>F237*H237</f>
        <v>0</v>
      </c>
      <c r="J237" s="928">
        <f>I237/15</f>
        <v>0</v>
      </c>
      <c r="L237" s="754"/>
      <c r="M237" s="754">
        <f>IF(G237&lt;&gt;"",IF(AND(G237&gt;=$M$13,G237&lt;=$N$13),1,0),0)</f>
        <v>0</v>
      </c>
      <c r="N237" s="754"/>
      <c r="O237" s="754"/>
      <c r="P237" s="754"/>
      <c r="Q237" s="754"/>
      <c r="R237" s="754"/>
    </row>
    <row r="238" spans="2:18" s="755" customFormat="1" x14ac:dyDescent="0.2">
      <c r="B238" s="958" t="s">
        <v>549</v>
      </c>
      <c r="C238" s="3008"/>
      <c r="D238" s="3056"/>
      <c r="E238" s="3009"/>
      <c r="F238" s="1090"/>
      <c r="G238" s="1510"/>
      <c r="H238" s="1073">
        <v>3</v>
      </c>
      <c r="I238" s="960">
        <f>F238*H238</f>
        <v>0</v>
      </c>
      <c r="J238" s="928">
        <f>I238/15</f>
        <v>0</v>
      </c>
      <c r="L238" s="754"/>
      <c r="M238" s="754">
        <f>IF(G238&lt;&gt;"",IF(AND(G238&gt;=$M$13,G238&lt;=$N$13),1,0),0)</f>
        <v>0</v>
      </c>
      <c r="N238" s="754"/>
      <c r="O238" s="754"/>
      <c r="P238" s="754"/>
      <c r="Q238" s="754"/>
      <c r="R238" s="754"/>
    </row>
    <row r="239" spans="2:18" s="755" customFormat="1" x14ac:dyDescent="0.2">
      <c r="B239" s="958" t="s">
        <v>550</v>
      </c>
      <c r="C239" s="3008"/>
      <c r="D239" s="3056"/>
      <c r="E239" s="3009"/>
      <c r="F239" s="1090"/>
      <c r="G239" s="1510"/>
      <c r="H239" s="1073">
        <v>3</v>
      </c>
      <c r="I239" s="960">
        <f>F239*H239</f>
        <v>0</v>
      </c>
      <c r="J239" s="928">
        <f>I239/15</f>
        <v>0</v>
      </c>
      <c r="L239" s="754"/>
      <c r="M239" s="754">
        <f>IF(G239&lt;&gt;"",IF(AND(G239&gt;=$M$13,G239&lt;=$N$13),1,0),0)</f>
        <v>0</v>
      </c>
      <c r="N239" s="754"/>
      <c r="O239" s="754"/>
      <c r="P239" s="754"/>
      <c r="Q239" s="754"/>
      <c r="R239" s="754"/>
    </row>
    <row r="240" spans="2:18" s="755" customFormat="1" x14ac:dyDescent="0.2">
      <c r="B240" s="958" t="s">
        <v>551</v>
      </c>
      <c r="C240" s="3008"/>
      <c r="D240" s="3056"/>
      <c r="E240" s="3009"/>
      <c r="F240" s="1090"/>
      <c r="G240" s="1510"/>
      <c r="H240" s="1073">
        <v>3</v>
      </c>
      <c r="I240" s="960">
        <f>F240*H240</f>
        <v>0</v>
      </c>
      <c r="J240" s="928">
        <f>I240/15</f>
        <v>0</v>
      </c>
      <c r="L240" s="754"/>
      <c r="M240" s="754">
        <f>IF(G240&lt;&gt;"",IF(AND(G240&gt;=$M$13,G240&lt;=$N$13),1,0),0)</f>
        <v>0</v>
      </c>
      <c r="N240" s="754"/>
      <c r="O240" s="754"/>
      <c r="P240" s="754"/>
      <c r="Q240" s="754"/>
      <c r="R240" s="754"/>
    </row>
    <row r="241" spans="2:18" s="755" customFormat="1" x14ac:dyDescent="0.2">
      <c r="B241" s="1074"/>
      <c r="C241" s="866"/>
      <c r="D241" s="866"/>
      <c r="E241" s="1075"/>
      <c r="F241" s="1076"/>
      <c r="G241" s="1077">
        <f>SUM(M236:M240)</f>
        <v>0</v>
      </c>
      <c r="H241" s="867" t="s">
        <v>283</v>
      </c>
      <c r="I241" s="820">
        <f>SUM(I236:I240)</f>
        <v>0</v>
      </c>
      <c r="J241" s="821">
        <f>SUM(J236:J240)</f>
        <v>0</v>
      </c>
      <c r="L241" s="754"/>
      <c r="M241" s="754"/>
      <c r="N241" s="754"/>
      <c r="O241" s="754"/>
      <c r="P241" s="754"/>
      <c r="Q241" s="754"/>
      <c r="R241" s="754"/>
    </row>
    <row r="242" spans="2:18" s="842" customFormat="1" ht="15" x14ac:dyDescent="0.2">
      <c r="B242" s="968"/>
      <c r="C242" s="1092"/>
      <c r="D242" s="1092"/>
      <c r="E242" s="1092"/>
      <c r="F242" s="968"/>
      <c r="G242" s="968"/>
      <c r="H242" s="1092"/>
      <c r="I242" s="981"/>
      <c r="J242" s="981"/>
      <c r="L242" s="840"/>
      <c r="M242" s="754"/>
      <c r="N242" s="840"/>
      <c r="O242" s="840"/>
      <c r="P242" s="840"/>
      <c r="Q242" s="840"/>
      <c r="R242" s="840"/>
    </row>
    <row r="243" spans="2:18" s="842" customFormat="1" ht="15" x14ac:dyDescent="0.2">
      <c r="B243" s="968"/>
      <c r="C243" s="1092"/>
      <c r="D243" s="1092"/>
      <c r="E243" s="1092"/>
      <c r="F243" s="968"/>
      <c r="G243" s="968"/>
      <c r="H243" s="1092"/>
      <c r="I243" s="981"/>
      <c r="J243" s="981"/>
      <c r="L243" s="840"/>
      <c r="M243" s="754"/>
      <c r="N243" s="840"/>
      <c r="O243" s="840"/>
      <c r="P243" s="840"/>
      <c r="Q243" s="840"/>
      <c r="R243" s="840"/>
    </row>
    <row r="244" spans="2:18" s="682" customFormat="1" ht="21" customHeight="1" x14ac:dyDescent="0.25">
      <c r="B244" s="710" t="s">
        <v>770</v>
      </c>
      <c r="C244" s="1066"/>
      <c r="D244" s="1066"/>
      <c r="E244" s="712"/>
      <c r="F244" s="714"/>
      <c r="G244" s="714"/>
      <c r="H244" s="714"/>
      <c r="I244" s="714"/>
      <c r="J244" s="1067"/>
      <c r="L244" s="685"/>
      <c r="M244" s="754"/>
      <c r="N244" s="685"/>
      <c r="O244" s="685"/>
      <c r="P244" s="685"/>
      <c r="Q244" s="685"/>
      <c r="R244" s="685"/>
    </row>
    <row r="245" spans="2:18" s="736" customFormat="1" x14ac:dyDescent="0.2">
      <c r="B245" s="809"/>
      <c r="C245" s="3030" t="s">
        <v>675</v>
      </c>
      <c r="D245" s="3031"/>
      <c r="E245" s="3032"/>
      <c r="F245" s="1109" t="s">
        <v>149</v>
      </c>
      <c r="G245" s="810" t="s">
        <v>724</v>
      </c>
      <c r="H245" s="1068" t="s">
        <v>442</v>
      </c>
      <c r="I245" s="1069" t="s">
        <v>443</v>
      </c>
      <c r="J245" s="1070" t="s">
        <v>443</v>
      </c>
      <c r="L245" s="734"/>
      <c r="M245" s="754"/>
      <c r="N245" s="734"/>
      <c r="O245" s="734"/>
      <c r="P245" s="734"/>
      <c r="Q245" s="734"/>
      <c r="R245" s="734"/>
    </row>
    <row r="246" spans="2:18" s="747" customFormat="1" x14ac:dyDescent="0.2">
      <c r="B246" s="849"/>
      <c r="C246" s="1110"/>
      <c r="D246" s="1098"/>
      <c r="E246" s="1111"/>
      <c r="F246" s="1112" t="s">
        <v>771</v>
      </c>
      <c r="G246" s="1100" t="s">
        <v>1018</v>
      </c>
      <c r="H246" s="1101" t="s">
        <v>448</v>
      </c>
      <c r="I246" s="1101" t="s">
        <v>445</v>
      </c>
      <c r="J246" s="1102" t="s">
        <v>315</v>
      </c>
      <c r="L246" s="745"/>
      <c r="M246" s="754"/>
      <c r="N246" s="745"/>
      <c r="O246" s="745"/>
      <c r="P246" s="745"/>
      <c r="Q246" s="745"/>
      <c r="R246" s="745"/>
    </row>
    <row r="247" spans="2:18" s="747" customFormat="1" x14ac:dyDescent="0.2">
      <c r="B247" s="737"/>
      <c r="C247" s="738"/>
      <c r="D247" s="1071"/>
      <c r="E247" s="1113"/>
      <c r="F247" s="906" t="s">
        <v>629</v>
      </c>
      <c r="G247" s="906"/>
      <c r="H247" s="858"/>
      <c r="I247" s="858"/>
      <c r="J247" s="859"/>
      <c r="L247" s="745"/>
      <c r="M247" s="754"/>
      <c r="N247" s="745"/>
      <c r="O247" s="745"/>
      <c r="P247" s="745"/>
      <c r="Q247" s="745"/>
      <c r="R247" s="745"/>
    </row>
    <row r="248" spans="2:18" s="755" customFormat="1" x14ac:dyDescent="0.2">
      <c r="B248" s="958" t="s">
        <v>547</v>
      </c>
      <c r="C248" s="3008"/>
      <c r="D248" s="3056"/>
      <c r="E248" s="3009"/>
      <c r="F248" s="1006"/>
      <c r="G248" s="1514"/>
      <c r="H248" s="1073">
        <f t="shared" ref="H248:H257" si="40">IF(F248="ระดับชาติ",6,IF(F248="ระดับนานาชาติ",10,0))</f>
        <v>0</v>
      </c>
      <c r="I248" s="960">
        <f>IF(C248&lt;&gt;"",H248,0)</f>
        <v>0</v>
      </c>
      <c r="J248" s="928">
        <f t="shared" ref="J248:J257" si="41">I248/15</f>
        <v>0</v>
      </c>
      <c r="L248" s="754"/>
      <c r="M248" s="754">
        <f t="shared" ref="M248:M257" si="42">IF(G248&lt;&gt;"",IF(AND(G248&gt;=$M$13,G248&lt;=$N$13),1,0),0)</f>
        <v>0</v>
      </c>
      <c r="N248" s="754"/>
      <c r="O248" s="754"/>
      <c r="P248" s="754"/>
      <c r="Q248" s="754"/>
      <c r="R248" s="754"/>
    </row>
    <row r="249" spans="2:18" s="755" customFormat="1" x14ac:dyDescent="0.2">
      <c r="B249" s="958" t="s">
        <v>548</v>
      </c>
      <c r="C249" s="3008"/>
      <c r="D249" s="3056"/>
      <c r="E249" s="3009"/>
      <c r="F249" s="1006"/>
      <c r="G249" s="1514"/>
      <c r="H249" s="1073">
        <f t="shared" si="40"/>
        <v>0</v>
      </c>
      <c r="I249" s="960">
        <f t="shared" ref="I249:I257" si="43">IF(C249&lt;&gt;"",H249,0)</f>
        <v>0</v>
      </c>
      <c r="J249" s="928">
        <f t="shared" si="41"/>
        <v>0</v>
      </c>
      <c r="L249" s="754"/>
      <c r="M249" s="754">
        <f t="shared" si="42"/>
        <v>0</v>
      </c>
      <c r="N249" s="754"/>
      <c r="O249" s="754"/>
      <c r="P249" s="754"/>
      <c r="Q249" s="754"/>
      <c r="R249" s="754"/>
    </row>
    <row r="250" spans="2:18" s="755" customFormat="1" x14ac:dyDescent="0.2">
      <c r="B250" s="958" t="s">
        <v>549</v>
      </c>
      <c r="C250" s="3008"/>
      <c r="D250" s="3056"/>
      <c r="E250" s="3009"/>
      <c r="F250" s="1006"/>
      <c r="G250" s="1514"/>
      <c r="H250" s="1073">
        <f t="shared" si="40"/>
        <v>0</v>
      </c>
      <c r="I250" s="960">
        <f t="shared" si="43"/>
        <v>0</v>
      </c>
      <c r="J250" s="928">
        <f t="shared" si="41"/>
        <v>0</v>
      </c>
      <c r="L250" s="754"/>
      <c r="M250" s="754">
        <f t="shared" si="42"/>
        <v>0</v>
      </c>
      <c r="N250" s="754"/>
      <c r="O250" s="754"/>
      <c r="P250" s="754"/>
      <c r="Q250" s="754"/>
      <c r="R250" s="754"/>
    </row>
    <row r="251" spans="2:18" s="755" customFormat="1" x14ac:dyDescent="0.2">
      <c r="B251" s="958" t="s">
        <v>550</v>
      </c>
      <c r="C251" s="3008"/>
      <c r="D251" s="3056"/>
      <c r="E251" s="3009"/>
      <c r="F251" s="1006"/>
      <c r="G251" s="1514"/>
      <c r="H251" s="1073">
        <f t="shared" si="40"/>
        <v>0</v>
      </c>
      <c r="I251" s="960">
        <f t="shared" si="43"/>
        <v>0</v>
      </c>
      <c r="J251" s="928">
        <f t="shared" si="41"/>
        <v>0</v>
      </c>
      <c r="L251" s="754"/>
      <c r="M251" s="754">
        <f t="shared" si="42"/>
        <v>0</v>
      </c>
      <c r="N251" s="754"/>
      <c r="O251" s="754"/>
      <c r="P251" s="754"/>
      <c r="Q251" s="754"/>
      <c r="R251" s="754"/>
    </row>
    <row r="252" spans="2:18" s="755" customFormat="1" x14ac:dyDescent="0.2">
      <c r="B252" s="958" t="s">
        <v>551</v>
      </c>
      <c r="C252" s="3008"/>
      <c r="D252" s="3056"/>
      <c r="E252" s="3009"/>
      <c r="F252" s="1006"/>
      <c r="G252" s="1514"/>
      <c r="H252" s="1073">
        <f t="shared" si="40"/>
        <v>0</v>
      </c>
      <c r="I252" s="960">
        <f t="shared" si="43"/>
        <v>0</v>
      </c>
      <c r="J252" s="928">
        <f t="shared" si="41"/>
        <v>0</v>
      </c>
      <c r="L252" s="754"/>
      <c r="M252" s="754">
        <f t="shared" si="42"/>
        <v>0</v>
      </c>
      <c r="N252" s="754"/>
      <c r="O252" s="754"/>
      <c r="P252" s="754"/>
      <c r="Q252" s="754"/>
      <c r="R252" s="754"/>
    </row>
    <row r="253" spans="2:18" s="755" customFormat="1" x14ac:dyDescent="0.2">
      <c r="B253" s="958" t="s">
        <v>552</v>
      </c>
      <c r="C253" s="3008"/>
      <c r="D253" s="3056"/>
      <c r="E253" s="3009"/>
      <c r="F253" s="1006"/>
      <c r="G253" s="1514"/>
      <c r="H253" s="1073">
        <f t="shared" si="40"/>
        <v>0</v>
      </c>
      <c r="I253" s="960">
        <f t="shared" si="43"/>
        <v>0</v>
      </c>
      <c r="J253" s="928">
        <f t="shared" si="41"/>
        <v>0</v>
      </c>
      <c r="L253" s="754"/>
      <c r="M253" s="754">
        <f t="shared" si="42"/>
        <v>0</v>
      </c>
      <c r="N253" s="754"/>
      <c r="O253" s="754"/>
      <c r="P253" s="754"/>
      <c r="Q253" s="754"/>
      <c r="R253" s="754"/>
    </row>
    <row r="254" spans="2:18" s="755" customFormat="1" x14ac:dyDescent="0.2">
      <c r="B254" s="958" t="s">
        <v>553</v>
      </c>
      <c r="C254" s="3008"/>
      <c r="D254" s="3056"/>
      <c r="E254" s="3009"/>
      <c r="F254" s="1006"/>
      <c r="G254" s="1514"/>
      <c r="H254" s="1073">
        <f t="shared" si="40"/>
        <v>0</v>
      </c>
      <c r="I254" s="960">
        <f t="shared" si="43"/>
        <v>0</v>
      </c>
      <c r="J254" s="928">
        <f t="shared" si="41"/>
        <v>0</v>
      </c>
      <c r="L254" s="754"/>
      <c r="M254" s="754">
        <f t="shared" si="42"/>
        <v>0</v>
      </c>
      <c r="N254" s="754"/>
      <c r="O254" s="754"/>
      <c r="P254" s="754"/>
      <c r="Q254" s="754"/>
      <c r="R254" s="754"/>
    </row>
    <row r="255" spans="2:18" s="755" customFormat="1" x14ac:dyDescent="0.2">
      <c r="B255" s="958" t="s">
        <v>554</v>
      </c>
      <c r="C255" s="3008"/>
      <c r="D255" s="3056"/>
      <c r="E255" s="3009"/>
      <c r="F255" s="1006"/>
      <c r="G255" s="1514"/>
      <c r="H255" s="1073">
        <f t="shared" si="40"/>
        <v>0</v>
      </c>
      <c r="I255" s="960">
        <f t="shared" si="43"/>
        <v>0</v>
      </c>
      <c r="J255" s="928">
        <f t="shared" si="41"/>
        <v>0</v>
      </c>
      <c r="L255" s="754"/>
      <c r="M255" s="754">
        <f t="shared" si="42"/>
        <v>0</v>
      </c>
      <c r="N255" s="754"/>
      <c r="O255" s="754"/>
      <c r="P255" s="754"/>
      <c r="Q255" s="754"/>
      <c r="R255" s="754"/>
    </row>
    <row r="256" spans="2:18" s="755" customFormat="1" x14ac:dyDescent="0.2">
      <c r="B256" s="958" t="s">
        <v>721</v>
      </c>
      <c r="C256" s="3008"/>
      <c r="D256" s="3056"/>
      <c r="E256" s="3009"/>
      <c r="F256" s="1006"/>
      <c r="G256" s="1514"/>
      <c r="H256" s="1073">
        <f t="shared" si="40"/>
        <v>0</v>
      </c>
      <c r="I256" s="960">
        <f t="shared" si="43"/>
        <v>0</v>
      </c>
      <c r="J256" s="928">
        <f t="shared" si="41"/>
        <v>0</v>
      </c>
      <c r="L256" s="754"/>
      <c r="M256" s="754">
        <f t="shared" si="42"/>
        <v>0</v>
      </c>
      <c r="N256" s="754"/>
      <c r="O256" s="754"/>
      <c r="P256" s="754"/>
      <c r="Q256" s="754"/>
      <c r="R256" s="754"/>
    </row>
    <row r="257" spans="2:18" s="755" customFormat="1" x14ac:dyDescent="0.2">
      <c r="B257" s="958" t="s">
        <v>722</v>
      </c>
      <c r="C257" s="3008"/>
      <c r="D257" s="3056"/>
      <c r="E257" s="3009"/>
      <c r="F257" s="1006"/>
      <c r="G257" s="1514"/>
      <c r="H257" s="1073">
        <f t="shared" si="40"/>
        <v>0</v>
      </c>
      <c r="I257" s="960">
        <f t="shared" si="43"/>
        <v>0</v>
      </c>
      <c r="J257" s="928">
        <f t="shared" si="41"/>
        <v>0</v>
      </c>
      <c r="L257" s="754"/>
      <c r="M257" s="754">
        <f t="shared" si="42"/>
        <v>0</v>
      </c>
      <c r="N257" s="754"/>
      <c r="O257" s="754"/>
      <c r="P257" s="754"/>
      <c r="Q257" s="754"/>
      <c r="R257" s="754"/>
    </row>
    <row r="258" spans="2:18" s="755" customFormat="1" x14ac:dyDescent="0.2">
      <c r="B258" s="1074"/>
      <c r="C258" s="866"/>
      <c r="D258" s="866"/>
      <c r="E258" s="1075"/>
      <c r="F258" s="1076"/>
      <c r="G258" s="1077">
        <f>SUM(M248:M257)</f>
        <v>0</v>
      </c>
      <c r="H258" s="867" t="s">
        <v>283</v>
      </c>
      <c r="I258" s="820">
        <f>SUM(I248:I257)</f>
        <v>0</v>
      </c>
      <c r="J258" s="821">
        <f>SUM(J248:J257)</f>
        <v>0</v>
      </c>
      <c r="L258" s="754"/>
      <c r="M258" s="754"/>
      <c r="N258" s="754"/>
      <c r="O258" s="754"/>
      <c r="P258" s="754"/>
      <c r="Q258" s="754"/>
      <c r="R258" s="754"/>
    </row>
    <row r="259" spans="2:18" s="842" customFormat="1" ht="15" x14ac:dyDescent="0.2">
      <c r="B259" s="836"/>
      <c r="C259" s="837"/>
      <c r="D259" s="837"/>
      <c r="E259" s="837"/>
      <c r="F259" s="836"/>
      <c r="G259" s="836"/>
      <c r="H259" s="837"/>
      <c r="I259" s="967"/>
      <c r="J259" s="967"/>
      <c r="L259" s="840"/>
      <c r="M259" s="754"/>
      <c r="N259" s="840"/>
      <c r="O259" s="840"/>
      <c r="P259" s="840"/>
      <c r="Q259" s="840"/>
      <c r="R259" s="840"/>
    </row>
    <row r="260" spans="2:18" s="842" customFormat="1" ht="15" x14ac:dyDescent="0.2">
      <c r="B260" s="968"/>
      <c r="C260" s="1092"/>
      <c r="D260" s="1092"/>
      <c r="E260" s="1092"/>
      <c r="F260" s="968"/>
      <c r="G260" s="968"/>
      <c r="H260" s="1092"/>
      <c r="I260" s="981"/>
      <c r="J260" s="981"/>
      <c r="L260" s="840"/>
      <c r="M260" s="754"/>
      <c r="N260" s="840"/>
      <c r="O260" s="840"/>
      <c r="P260" s="840"/>
      <c r="Q260" s="840"/>
      <c r="R260" s="840"/>
    </row>
    <row r="261" spans="2:18" s="682" customFormat="1" ht="21" customHeight="1" x14ac:dyDescent="0.25">
      <c r="B261" s="710" t="s">
        <v>772</v>
      </c>
      <c r="C261" s="1066"/>
      <c r="D261" s="1066"/>
      <c r="E261" s="712"/>
      <c r="F261" s="714"/>
      <c r="G261" s="714"/>
      <c r="H261" s="714"/>
      <c r="I261" s="714"/>
      <c r="J261" s="1067"/>
      <c r="L261" s="685"/>
      <c r="M261" s="754"/>
      <c r="N261" s="685"/>
      <c r="O261" s="685"/>
      <c r="P261" s="685"/>
      <c r="Q261" s="685"/>
      <c r="R261" s="685"/>
    </row>
    <row r="262" spans="2:18" s="736" customFormat="1" x14ac:dyDescent="0.2">
      <c r="B262" s="809"/>
      <c r="C262" s="3030" t="s">
        <v>621</v>
      </c>
      <c r="D262" s="3031"/>
      <c r="E262" s="3031"/>
      <c r="F262" s="3032"/>
      <c r="G262" s="810" t="s">
        <v>724</v>
      </c>
      <c r="H262" s="1068" t="s">
        <v>442</v>
      </c>
      <c r="I262" s="1069" t="s">
        <v>443</v>
      </c>
      <c r="J262" s="1070" t="s">
        <v>443</v>
      </c>
      <c r="L262" s="734"/>
      <c r="M262" s="754"/>
      <c r="N262" s="734"/>
      <c r="O262" s="734"/>
      <c r="P262" s="734"/>
      <c r="Q262" s="734"/>
      <c r="R262" s="734"/>
    </row>
    <row r="263" spans="2:18" s="747" customFormat="1" x14ac:dyDescent="0.2">
      <c r="B263" s="849"/>
      <c r="C263" s="3137"/>
      <c r="D263" s="3138"/>
      <c r="E263" s="3138"/>
      <c r="F263" s="1118"/>
      <c r="G263" s="1100" t="s">
        <v>1018</v>
      </c>
      <c r="H263" s="1101" t="s">
        <v>448</v>
      </c>
      <c r="I263" s="1101" t="s">
        <v>445</v>
      </c>
      <c r="J263" s="1102" t="s">
        <v>315</v>
      </c>
      <c r="L263" s="745"/>
      <c r="M263" s="754"/>
      <c r="N263" s="745"/>
      <c r="O263" s="745"/>
      <c r="P263" s="745"/>
      <c r="Q263" s="745"/>
      <c r="R263" s="745"/>
    </row>
    <row r="264" spans="2:18" s="755" customFormat="1" x14ac:dyDescent="0.2">
      <c r="B264" s="958" t="s">
        <v>547</v>
      </c>
      <c r="C264" s="3008"/>
      <c r="D264" s="3056"/>
      <c r="E264" s="3056"/>
      <c r="F264" s="3009"/>
      <c r="G264" s="1508"/>
      <c r="H264" s="1073">
        <v>3</v>
      </c>
      <c r="I264" s="960">
        <f>IF(C264&lt;&gt;"",H264,0)</f>
        <v>0</v>
      </c>
      <c r="J264" s="928">
        <f>I264/15</f>
        <v>0</v>
      </c>
      <c r="L264" s="754"/>
      <c r="M264" s="754">
        <f>IF(G264&lt;&gt;"",IF(AND(G264&gt;=$M$13,G264&lt;=$N$13),1,0),0)</f>
        <v>0</v>
      </c>
      <c r="N264" s="754"/>
      <c r="O264" s="754"/>
      <c r="P264" s="754"/>
      <c r="Q264" s="754"/>
      <c r="R264" s="754"/>
    </row>
    <row r="265" spans="2:18" s="755" customFormat="1" x14ac:dyDescent="0.2">
      <c r="B265" s="958" t="s">
        <v>548</v>
      </c>
      <c r="C265" s="3008"/>
      <c r="D265" s="3056"/>
      <c r="E265" s="3056"/>
      <c r="F265" s="3009"/>
      <c r="G265" s="1508"/>
      <c r="H265" s="1073">
        <v>3</v>
      </c>
      <c r="I265" s="960">
        <f>IF(C265&lt;&gt;"",H265,0)</f>
        <v>0</v>
      </c>
      <c r="J265" s="928">
        <f>I265/15</f>
        <v>0</v>
      </c>
      <c r="L265" s="754"/>
      <c r="M265" s="754">
        <f>IF(G265&lt;&gt;"",IF(AND(G265&gt;=$M$13,G265&lt;=$N$13),1,0),0)</f>
        <v>0</v>
      </c>
      <c r="N265" s="754"/>
      <c r="O265" s="754"/>
      <c r="P265" s="754"/>
      <c r="Q265" s="754"/>
      <c r="R265" s="754"/>
    </row>
    <row r="266" spans="2:18" s="755" customFormat="1" x14ac:dyDescent="0.2">
      <c r="B266" s="958" t="s">
        <v>549</v>
      </c>
      <c r="C266" s="3008"/>
      <c r="D266" s="3056"/>
      <c r="E266" s="3056"/>
      <c r="F266" s="3009"/>
      <c r="G266" s="1508"/>
      <c r="H266" s="1073">
        <v>3</v>
      </c>
      <c r="I266" s="960">
        <f>IF(C266&lt;&gt;"",H266,0)</f>
        <v>0</v>
      </c>
      <c r="J266" s="928">
        <f>I266/15</f>
        <v>0</v>
      </c>
      <c r="L266" s="754"/>
      <c r="M266" s="754">
        <f>IF(G266&lt;&gt;"",IF(AND(G266&gt;=$M$13,G266&lt;=$N$13),1,0),0)</f>
        <v>0</v>
      </c>
      <c r="N266" s="754"/>
      <c r="O266" s="754"/>
      <c r="P266" s="754"/>
      <c r="Q266" s="754"/>
      <c r="R266" s="754"/>
    </row>
    <row r="267" spans="2:18" s="755" customFormat="1" x14ac:dyDescent="0.2">
      <c r="B267" s="958" t="s">
        <v>550</v>
      </c>
      <c r="C267" s="3008"/>
      <c r="D267" s="3056"/>
      <c r="E267" s="3056"/>
      <c r="F267" s="3009"/>
      <c r="G267" s="1508"/>
      <c r="H267" s="1073">
        <v>3</v>
      </c>
      <c r="I267" s="960">
        <f>IF(C267&lt;&gt;"",H267,0)</f>
        <v>0</v>
      </c>
      <c r="J267" s="928">
        <f>I267/15</f>
        <v>0</v>
      </c>
      <c r="L267" s="754"/>
      <c r="M267" s="754">
        <f>IF(G267&lt;&gt;"",IF(AND(G267&gt;=$M$13,G267&lt;=$N$13),1,0),0)</f>
        <v>0</v>
      </c>
      <c r="N267" s="754"/>
      <c r="O267" s="754"/>
      <c r="P267" s="754"/>
      <c r="Q267" s="754"/>
      <c r="R267" s="754"/>
    </row>
    <row r="268" spans="2:18" s="755" customFormat="1" x14ac:dyDescent="0.2">
      <c r="B268" s="958" t="s">
        <v>551</v>
      </c>
      <c r="C268" s="3008"/>
      <c r="D268" s="3056"/>
      <c r="E268" s="3056"/>
      <c r="F268" s="3009"/>
      <c r="G268" s="1508"/>
      <c r="H268" s="1073">
        <v>3</v>
      </c>
      <c r="I268" s="960">
        <f>IF(C268&lt;&gt;"",H268,0)</f>
        <v>0</v>
      </c>
      <c r="J268" s="928">
        <f>I268/15</f>
        <v>0</v>
      </c>
      <c r="L268" s="754"/>
      <c r="M268" s="754">
        <f>IF(G268&lt;&gt;"",IF(AND(G268&gt;=$M$13,G268&lt;=$N$13),1,0),0)</f>
        <v>0</v>
      </c>
      <c r="N268" s="754"/>
      <c r="O268" s="754"/>
      <c r="P268" s="754"/>
      <c r="Q268" s="754"/>
      <c r="R268" s="754"/>
    </row>
    <row r="269" spans="2:18" s="755" customFormat="1" x14ac:dyDescent="0.2">
      <c r="B269" s="1074"/>
      <c r="C269" s="866"/>
      <c r="D269" s="866"/>
      <c r="E269" s="1075"/>
      <c r="F269" s="1076"/>
      <c r="G269" s="1077">
        <f>SUM(M264:M268)</f>
        <v>0</v>
      </c>
      <c r="H269" s="867" t="s">
        <v>283</v>
      </c>
      <c r="I269" s="820">
        <f>SUM(I264:I268)</f>
        <v>0</v>
      </c>
      <c r="J269" s="821">
        <f>SUM(J264:J268)</f>
        <v>0</v>
      </c>
      <c r="L269" s="754"/>
      <c r="M269" s="754"/>
      <c r="N269" s="754"/>
      <c r="O269" s="754"/>
      <c r="P269" s="754"/>
      <c r="Q269" s="754"/>
      <c r="R269" s="754"/>
    </row>
    <row r="270" spans="2:18" s="842" customFormat="1" ht="15" x14ac:dyDescent="0.2">
      <c r="B270" s="836"/>
      <c r="C270" s="837"/>
      <c r="D270" s="837"/>
      <c r="E270" s="837"/>
      <c r="F270" s="836"/>
      <c r="G270" s="836"/>
      <c r="H270" s="837"/>
      <c r="I270" s="967"/>
      <c r="J270" s="967"/>
      <c r="L270" s="840"/>
      <c r="M270" s="754"/>
      <c r="N270" s="840"/>
      <c r="O270" s="840"/>
      <c r="P270" s="840"/>
      <c r="Q270" s="840"/>
      <c r="R270" s="840"/>
    </row>
    <row r="271" spans="2:18" s="842" customFormat="1" ht="15" x14ac:dyDescent="0.2">
      <c r="B271" s="968"/>
      <c r="C271" s="1092"/>
      <c r="D271" s="1092"/>
      <c r="E271" s="1092"/>
      <c r="F271" s="968"/>
      <c r="G271" s="968"/>
      <c r="H271" s="1092"/>
      <c r="I271" s="981"/>
      <c r="J271" s="981"/>
      <c r="L271" s="840"/>
      <c r="M271" s="754"/>
      <c r="N271" s="840"/>
      <c r="O271" s="840"/>
      <c r="P271" s="840"/>
      <c r="Q271" s="840"/>
      <c r="R271" s="840"/>
    </row>
    <row r="272" spans="2:18" s="682" customFormat="1" ht="21" customHeight="1" x14ac:dyDescent="0.25">
      <c r="B272" s="710" t="s">
        <v>773</v>
      </c>
      <c r="C272" s="1066"/>
      <c r="D272" s="1066"/>
      <c r="E272" s="712"/>
      <c r="F272" s="714"/>
      <c r="G272" s="714"/>
      <c r="H272" s="714"/>
      <c r="I272" s="714"/>
      <c r="J272" s="1067"/>
      <c r="L272" s="685"/>
      <c r="M272" s="754"/>
      <c r="N272" s="685"/>
      <c r="O272" s="685"/>
      <c r="P272" s="685"/>
      <c r="Q272" s="685"/>
      <c r="R272" s="685"/>
    </row>
    <row r="273" spans="2:18" s="736" customFormat="1" x14ac:dyDescent="0.2">
      <c r="B273" s="809"/>
      <c r="C273" s="1414" t="s">
        <v>491</v>
      </c>
      <c r="D273" s="1109" t="s">
        <v>774</v>
      </c>
      <c r="E273" s="1003" t="s">
        <v>775</v>
      </c>
      <c r="F273" s="810" t="s">
        <v>724</v>
      </c>
      <c r="G273" s="1109" t="s">
        <v>806</v>
      </c>
      <c r="H273" s="1068" t="s">
        <v>442</v>
      </c>
      <c r="I273" s="1069" t="s">
        <v>443</v>
      </c>
      <c r="J273" s="1070" t="s">
        <v>443</v>
      </c>
      <c r="L273" s="734"/>
      <c r="M273" s="754"/>
      <c r="N273" s="734"/>
      <c r="O273" s="734"/>
      <c r="P273" s="734"/>
      <c r="Q273" s="734"/>
      <c r="R273" s="734"/>
    </row>
    <row r="274" spans="2:18" s="747" customFormat="1" x14ac:dyDescent="0.2">
      <c r="B274" s="849"/>
      <c r="C274" s="1187"/>
      <c r="D274" s="1112" t="s">
        <v>776</v>
      </c>
      <c r="E274" s="1123"/>
      <c r="F274" s="1100" t="s">
        <v>1018</v>
      </c>
      <c r="G274" s="1100" t="s">
        <v>1018</v>
      </c>
      <c r="H274" s="1101" t="s">
        <v>448</v>
      </c>
      <c r="I274" s="1101" t="s">
        <v>445</v>
      </c>
      <c r="J274" s="1102" t="s">
        <v>315</v>
      </c>
      <c r="L274" s="745"/>
      <c r="M274" s="754"/>
      <c r="N274" s="745"/>
      <c r="O274" s="745"/>
      <c r="P274" s="745"/>
      <c r="Q274" s="745"/>
      <c r="R274" s="745"/>
    </row>
    <row r="275" spans="2:18" s="747" customFormat="1" x14ac:dyDescent="0.2">
      <c r="B275" s="737"/>
      <c r="C275" s="1176"/>
      <c r="D275" s="906" t="s">
        <v>629</v>
      </c>
      <c r="E275" s="906"/>
      <c r="F275" s="906"/>
      <c r="G275" s="906"/>
      <c r="H275" s="858"/>
      <c r="I275" s="858"/>
      <c r="J275" s="859"/>
      <c r="L275" s="745"/>
      <c r="M275" s="754"/>
      <c r="N275" s="745"/>
      <c r="O275" s="745"/>
      <c r="P275" s="745"/>
      <c r="Q275" s="745"/>
      <c r="R275" s="745"/>
    </row>
    <row r="276" spans="2:18" s="755" customFormat="1" ht="16.5" customHeight="1" x14ac:dyDescent="0.2">
      <c r="B276" s="1124" t="s">
        <v>777</v>
      </c>
      <c r="C276" s="1125"/>
      <c r="D276" s="1126"/>
      <c r="E276" s="1127"/>
      <c r="F276" s="1188"/>
      <c r="G276" s="1188"/>
      <c r="H276" s="1126"/>
      <c r="I276" s="1126"/>
      <c r="J276" s="1128"/>
      <c r="L276" s="754"/>
      <c r="M276" s="754"/>
      <c r="N276" s="754"/>
      <c r="O276" s="754"/>
      <c r="P276" s="754"/>
      <c r="Q276" s="754"/>
      <c r="R276" s="754"/>
    </row>
    <row r="277" spans="2:18" s="755" customFormat="1" x14ac:dyDescent="0.2">
      <c r="B277" s="958" t="s">
        <v>547</v>
      </c>
      <c r="C277" s="1179"/>
      <c r="D277" s="1006"/>
      <c r="E277" s="1090"/>
      <c r="F277" s="1510"/>
      <c r="G277" s="1510"/>
      <c r="H277" s="1073">
        <f>IF(D277="ในประเทศ",50,IF(D277="นานาชาติ",100,0))</f>
        <v>0</v>
      </c>
      <c r="I277" s="960">
        <f>IF(OR(E277="",E277=0),0,H277/E277)</f>
        <v>0</v>
      </c>
      <c r="J277" s="928">
        <f t="shared" ref="J277:J286" si="44">I277/15</f>
        <v>0</v>
      </c>
      <c r="L277" s="754"/>
      <c r="M277" s="754">
        <f>IF(F277&lt;&gt;"",IF(F277&lt;$M$13,0,1),0)</f>
        <v>0</v>
      </c>
      <c r="N277" s="754">
        <f>IF(G277&lt;&gt;"",IF(G277&gt;$N$13,1,IF(G277&gt;=$M$13,1,0)),0)</f>
        <v>0</v>
      </c>
      <c r="O277" s="754">
        <f>IF(OR(M277=1,N277=1),1,0)</f>
        <v>0</v>
      </c>
      <c r="P277" s="754"/>
      <c r="Q277" s="754"/>
      <c r="R277" s="754"/>
    </row>
    <row r="278" spans="2:18" s="755" customFormat="1" x14ac:dyDescent="0.2">
      <c r="B278" s="958" t="s">
        <v>548</v>
      </c>
      <c r="C278" s="1179"/>
      <c r="D278" s="1006"/>
      <c r="E278" s="1090"/>
      <c r="F278" s="1510"/>
      <c r="G278" s="1510"/>
      <c r="H278" s="1073">
        <f t="shared" ref="H278:H286" si="45">IF(D278="ในประเทศ",50,IF(D278="นานาชาติ",100,0))</f>
        <v>0</v>
      </c>
      <c r="I278" s="960">
        <f t="shared" ref="I278:I285" si="46">IF(OR(E278="",E278=0),0,H278/E278)</f>
        <v>0</v>
      </c>
      <c r="J278" s="928">
        <f t="shared" si="44"/>
        <v>0</v>
      </c>
      <c r="L278" s="754"/>
      <c r="M278" s="754">
        <f t="shared" ref="M278:M335" si="47">IF(F278&lt;&gt;"",IF(F278&lt;$M$13,0,1),0)</f>
        <v>0</v>
      </c>
      <c r="N278" s="754">
        <f t="shared" ref="N278:N335" si="48">IF(G278&lt;&gt;"",IF(G278&gt;$N$13,1,IF(G278&gt;=$M$13,1,0)),0)</f>
        <v>0</v>
      </c>
      <c r="O278" s="754">
        <f t="shared" ref="O278:O335" si="49">IF(OR(M278=1,N278=1),1,0)</f>
        <v>0</v>
      </c>
      <c r="P278" s="754"/>
      <c r="Q278" s="754"/>
      <c r="R278" s="754"/>
    </row>
    <row r="279" spans="2:18" s="755" customFormat="1" x14ac:dyDescent="0.2">
      <c r="B279" s="958" t="s">
        <v>549</v>
      </c>
      <c r="C279" s="1179"/>
      <c r="D279" s="1006"/>
      <c r="E279" s="1090"/>
      <c r="F279" s="1510"/>
      <c r="G279" s="1510"/>
      <c r="H279" s="1073">
        <f t="shared" si="45"/>
        <v>0</v>
      </c>
      <c r="I279" s="960">
        <f t="shared" si="46"/>
        <v>0</v>
      </c>
      <c r="J279" s="928">
        <f t="shared" si="44"/>
        <v>0</v>
      </c>
      <c r="L279" s="754"/>
      <c r="M279" s="754">
        <f t="shared" si="47"/>
        <v>0</v>
      </c>
      <c r="N279" s="754">
        <f t="shared" si="48"/>
        <v>0</v>
      </c>
      <c r="O279" s="754">
        <f t="shared" si="49"/>
        <v>0</v>
      </c>
      <c r="P279" s="754"/>
      <c r="Q279" s="754"/>
      <c r="R279" s="754"/>
    </row>
    <row r="280" spans="2:18" s="755" customFormat="1" x14ac:dyDescent="0.2">
      <c r="B280" s="958" t="s">
        <v>550</v>
      </c>
      <c r="C280" s="1179"/>
      <c r="D280" s="1006"/>
      <c r="E280" s="1090"/>
      <c r="F280" s="1510"/>
      <c r="G280" s="1510"/>
      <c r="H280" s="1073">
        <f t="shared" si="45"/>
        <v>0</v>
      </c>
      <c r="I280" s="960">
        <f t="shared" si="46"/>
        <v>0</v>
      </c>
      <c r="J280" s="928">
        <f t="shared" si="44"/>
        <v>0</v>
      </c>
      <c r="L280" s="754"/>
      <c r="M280" s="754">
        <f t="shared" si="47"/>
        <v>0</v>
      </c>
      <c r="N280" s="754">
        <f t="shared" si="48"/>
        <v>0</v>
      </c>
      <c r="O280" s="754">
        <f t="shared" si="49"/>
        <v>0</v>
      </c>
      <c r="P280" s="754"/>
      <c r="Q280" s="754"/>
      <c r="R280" s="754"/>
    </row>
    <row r="281" spans="2:18" s="755" customFormat="1" x14ac:dyDescent="0.2">
      <c r="B281" s="958" t="s">
        <v>551</v>
      </c>
      <c r="C281" s="1179"/>
      <c r="D281" s="1006"/>
      <c r="E281" s="1090"/>
      <c r="F281" s="1510"/>
      <c r="G281" s="1510"/>
      <c r="H281" s="1073">
        <f t="shared" si="45"/>
        <v>0</v>
      </c>
      <c r="I281" s="960">
        <f t="shared" si="46"/>
        <v>0</v>
      </c>
      <c r="J281" s="928">
        <f t="shared" si="44"/>
        <v>0</v>
      </c>
      <c r="L281" s="754"/>
      <c r="M281" s="754">
        <f t="shared" si="47"/>
        <v>0</v>
      </c>
      <c r="N281" s="754">
        <f t="shared" si="48"/>
        <v>0</v>
      </c>
      <c r="O281" s="754">
        <f t="shared" si="49"/>
        <v>0</v>
      </c>
      <c r="P281" s="754"/>
      <c r="Q281" s="754"/>
      <c r="R281" s="754"/>
    </row>
    <row r="282" spans="2:18" s="755" customFormat="1" x14ac:dyDescent="0.2">
      <c r="B282" s="958" t="s">
        <v>552</v>
      </c>
      <c r="C282" s="1179"/>
      <c r="D282" s="1006"/>
      <c r="E282" s="1090"/>
      <c r="F282" s="1510"/>
      <c r="G282" s="1510"/>
      <c r="H282" s="1073">
        <f t="shared" si="45"/>
        <v>0</v>
      </c>
      <c r="I282" s="960">
        <f t="shared" si="46"/>
        <v>0</v>
      </c>
      <c r="J282" s="928">
        <f t="shared" si="44"/>
        <v>0</v>
      </c>
      <c r="L282" s="754"/>
      <c r="M282" s="754">
        <f t="shared" si="47"/>
        <v>0</v>
      </c>
      <c r="N282" s="754">
        <f t="shared" si="48"/>
        <v>0</v>
      </c>
      <c r="O282" s="754">
        <f t="shared" si="49"/>
        <v>0</v>
      </c>
      <c r="P282" s="754"/>
      <c r="Q282" s="754"/>
      <c r="R282" s="754"/>
    </row>
    <row r="283" spans="2:18" s="755" customFormat="1" x14ac:dyDescent="0.2">
      <c r="B283" s="958" t="s">
        <v>553</v>
      </c>
      <c r="C283" s="1179"/>
      <c r="D283" s="1006"/>
      <c r="E283" s="1090"/>
      <c r="F283" s="1510"/>
      <c r="G283" s="1510"/>
      <c r="H283" s="1073">
        <f t="shared" si="45"/>
        <v>0</v>
      </c>
      <c r="I283" s="960">
        <f t="shared" si="46"/>
        <v>0</v>
      </c>
      <c r="J283" s="928">
        <f t="shared" si="44"/>
        <v>0</v>
      </c>
      <c r="L283" s="754"/>
      <c r="M283" s="754">
        <f t="shared" si="47"/>
        <v>0</v>
      </c>
      <c r="N283" s="754">
        <f t="shared" si="48"/>
        <v>0</v>
      </c>
      <c r="O283" s="754">
        <f t="shared" si="49"/>
        <v>0</v>
      </c>
      <c r="P283" s="754"/>
      <c r="Q283" s="754"/>
      <c r="R283" s="754"/>
    </row>
    <row r="284" spans="2:18" s="755" customFormat="1" x14ac:dyDescent="0.2">
      <c r="B284" s="958" t="s">
        <v>554</v>
      </c>
      <c r="C284" s="1179"/>
      <c r="D284" s="1006"/>
      <c r="E284" s="1090"/>
      <c r="F284" s="1510"/>
      <c r="G284" s="1510"/>
      <c r="H284" s="1073">
        <f t="shared" si="45"/>
        <v>0</v>
      </c>
      <c r="I284" s="960">
        <f t="shared" si="46"/>
        <v>0</v>
      </c>
      <c r="J284" s="928">
        <f t="shared" si="44"/>
        <v>0</v>
      </c>
      <c r="L284" s="754"/>
      <c r="M284" s="754">
        <f t="shared" si="47"/>
        <v>0</v>
      </c>
      <c r="N284" s="754">
        <f t="shared" si="48"/>
        <v>0</v>
      </c>
      <c r="O284" s="754">
        <f t="shared" si="49"/>
        <v>0</v>
      </c>
      <c r="P284" s="754"/>
      <c r="Q284" s="754"/>
      <c r="R284" s="754"/>
    </row>
    <row r="285" spans="2:18" s="755" customFormat="1" x14ac:dyDescent="0.2">
      <c r="B285" s="958" t="s">
        <v>721</v>
      </c>
      <c r="C285" s="1179"/>
      <c r="D285" s="1006"/>
      <c r="E285" s="1090"/>
      <c r="F285" s="1510"/>
      <c r="G285" s="1510"/>
      <c r="H285" s="1073">
        <f t="shared" si="45"/>
        <v>0</v>
      </c>
      <c r="I285" s="960">
        <f t="shared" si="46"/>
        <v>0</v>
      </c>
      <c r="J285" s="928">
        <f t="shared" si="44"/>
        <v>0</v>
      </c>
      <c r="L285" s="754"/>
      <c r="M285" s="754">
        <f t="shared" si="47"/>
        <v>0</v>
      </c>
      <c r="N285" s="754">
        <f t="shared" si="48"/>
        <v>0</v>
      </c>
      <c r="O285" s="754">
        <f t="shared" si="49"/>
        <v>0</v>
      </c>
      <c r="P285" s="754"/>
      <c r="Q285" s="754"/>
      <c r="R285" s="754"/>
    </row>
    <row r="286" spans="2:18" s="755" customFormat="1" x14ac:dyDescent="0.2">
      <c r="B286" s="958" t="s">
        <v>722</v>
      </c>
      <c r="C286" s="1179"/>
      <c r="D286" s="1006"/>
      <c r="E286" s="1090"/>
      <c r="F286" s="1510"/>
      <c r="G286" s="1510"/>
      <c r="H286" s="1073">
        <f t="shared" si="45"/>
        <v>0</v>
      </c>
      <c r="I286" s="960">
        <f>IF(OR(E286="",E286=0),0,H286/E286)</f>
        <v>0</v>
      </c>
      <c r="J286" s="928">
        <f t="shared" si="44"/>
        <v>0</v>
      </c>
      <c r="L286" s="754"/>
      <c r="M286" s="754">
        <f t="shared" si="47"/>
        <v>0</v>
      </c>
      <c r="N286" s="754">
        <f t="shared" si="48"/>
        <v>0</v>
      </c>
      <c r="O286" s="754">
        <f t="shared" si="49"/>
        <v>0</v>
      </c>
      <c r="P286" s="754"/>
      <c r="Q286" s="754"/>
      <c r="R286" s="754"/>
    </row>
    <row r="287" spans="2:18" s="755" customFormat="1" x14ac:dyDescent="0.2">
      <c r="B287" s="1074"/>
      <c r="C287" s="866"/>
      <c r="D287" s="866"/>
      <c r="E287" s="1075"/>
      <c r="F287" s="1076"/>
      <c r="G287" s="1077">
        <f>SUM(O277:O286)</f>
        <v>0</v>
      </c>
      <c r="H287" s="867" t="s">
        <v>283</v>
      </c>
      <c r="I287" s="776">
        <f>SUM(I277:I286)</f>
        <v>0</v>
      </c>
      <c r="J287" s="777">
        <f>SUM(J277:J286)</f>
        <v>0</v>
      </c>
      <c r="L287" s="754"/>
      <c r="M287" s="754"/>
      <c r="N287" s="754"/>
      <c r="O287" s="754"/>
      <c r="P287" s="754"/>
      <c r="Q287" s="754"/>
      <c r="R287" s="754"/>
    </row>
    <row r="288" spans="2:18" s="736" customFormat="1" x14ac:dyDescent="0.2">
      <c r="B288" s="809"/>
      <c r="C288" s="1414" t="s">
        <v>491</v>
      </c>
      <c r="D288" s="1109" t="s">
        <v>774</v>
      </c>
      <c r="E288" s="1003" t="s">
        <v>563</v>
      </c>
      <c r="F288" s="810" t="s">
        <v>724</v>
      </c>
      <c r="G288" s="1109" t="s">
        <v>806</v>
      </c>
      <c r="H288" s="1068" t="s">
        <v>442</v>
      </c>
      <c r="I288" s="1069" t="s">
        <v>443</v>
      </c>
      <c r="J288" s="1070" t="s">
        <v>443</v>
      </c>
      <c r="L288" s="734"/>
      <c r="M288" s="754"/>
      <c r="N288" s="754"/>
      <c r="O288" s="754"/>
      <c r="P288" s="734"/>
      <c r="Q288" s="734"/>
      <c r="R288" s="734"/>
    </row>
    <row r="289" spans="2:18" s="747" customFormat="1" x14ac:dyDescent="0.2">
      <c r="B289" s="849"/>
      <c r="C289" s="1187"/>
      <c r="D289" s="1112" t="s">
        <v>776</v>
      </c>
      <c r="E289" s="732" t="s">
        <v>778</v>
      </c>
      <c r="F289" s="1100" t="s">
        <v>1018</v>
      </c>
      <c r="G289" s="1100" t="s">
        <v>1018</v>
      </c>
      <c r="H289" s="1101" t="s">
        <v>448</v>
      </c>
      <c r="I289" s="1101" t="s">
        <v>445</v>
      </c>
      <c r="J289" s="1102" t="s">
        <v>315</v>
      </c>
      <c r="L289" s="745"/>
      <c r="M289" s="754"/>
      <c r="N289" s="754"/>
      <c r="O289" s="754"/>
      <c r="P289" s="745"/>
      <c r="Q289" s="745"/>
      <c r="R289" s="745"/>
    </row>
    <row r="290" spans="2:18" s="747" customFormat="1" x14ac:dyDescent="0.2">
      <c r="B290" s="737"/>
      <c r="C290" s="1176"/>
      <c r="D290" s="906" t="s">
        <v>629</v>
      </c>
      <c r="E290" s="739" t="s">
        <v>779</v>
      </c>
      <c r="F290" s="739"/>
      <c r="G290" s="739"/>
      <c r="H290" s="858"/>
      <c r="I290" s="858"/>
      <c r="J290" s="859"/>
      <c r="L290" s="745"/>
      <c r="M290" s="754"/>
      <c r="N290" s="754"/>
      <c r="O290" s="754"/>
      <c r="P290" s="745"/>
      <c r="Q290" s="745"/>
      <c r="R290" s="745"/>
    </row>
    <row r="291" spans="2:18" s="755" customFormat="1" ht="16.5" customHeight="1" x14ac:dyDescent="0.2">
      <c r="B291" s="1124" t="s">
        <v>780</v>
      </c>
      <c r="C291" s="1125"/>
      <c r="D291" s="1126"/>
      <c r="E291" s="1127"/>
      <c r="F291" s="1127"/>
      <c r="G291" s="1127"/>
      <c r="H291" s="1126"/>
      <c r="I291" s="1126"/>
      <c r="J291" s="1128"/>
      <c r="L291" s="754"/>
      <c r="M291" s="754"/>
      <c r="N291" s="754"/>
      <c r="O291" s="754"/>
      <c r="P291" s="754"/>
      <c r="Q291" s="754"/>
      <c r="R291" s="754"/>
    </row>
    <row r="292" spans="2:18" s="755" customFormat="1" x14ac:dyDescent="0.2">
      <c r="B292" s="958" t="s">
        <v>547</v>
      </c>
      <c r="C292" s="1179"/>
      <c r="D292" s="1006"/>
      <c r="E292" s="1090"/>
      <c r="F292" s="1510"/>
      <c r="G292" s="1510"/>
      <c r="H292" s="1073">
        <f>IF(OR(D292="ในประเทศ",D292="นานาชาติ"),1,0)</f>
        <v>0</v>
      </c>
      <c r="I292" s="960">
        <f>H292*E292</f>
        <v>0</v>
      </c>
      <c r="J292" s="928">
        <f>I292/15</f>
        <v>0</v>
      </c>
      <c r="L292" s="754"/>
      <c r="M292" s="754">
        <f t="shared" si="47"/>
        <v>0</v>
      </c>
      <c r="N292" s="754">
        <f t="shared" si="48"/>
        <v>0</v>
      </c>
      <c r="O292" s="754">
        <f t="shared" si="49"/>
        <v>0</v>
      </c>
      <c r="P292" s="754"/>
      <c r="Q292" s="754"/>
      <c r="R292" s="754"/>
    </row>
    <row r="293" spans="2:18" s="755" customFormat="1" x14ac:dyDescent="0.2">
      <c r="B293" s="958" t="s">
        <v>548</v>
      </c>
      <c r="C293" s="1179"/>
      <c r="D293" s="1006"/>
      <c r="E293" s="1090"/>
      <c r="F293" s="1510"/>
      <c r="G293" s="1510"/>
      <c r="H293" s="1073">
        <f t="shared" ref="H293:H301" si="50">IF(OR(D293="ในประเทศ",D293="นานาชาติ"),1,0)</f>
        <v>0</v>
      </c>
      <c r="I293" s="960">
        <f t="shared" ref="I293:I301" si="51">H293*E293</f>
        <v>0</v>
      </c>
      <c r="J293" s="928">
        <f t="shared" ref="J293:J301" si="52">I293/15</f>
        <v>0</v>
      </c>
      <c r="L293" s="754"/>
      <c r="M293" s="754">
        <f t="shared" si="47"/>
        <v>0</v>
      </c>
      <c r="N293" s="754">
        <f t="shared" si="48"/>
        <v>0</v>
      </c>
      <c r="O293" s="754">
        <f t="shared" si="49"/>
        <v>0</v>
      </c>
      <c r="P293" s="754"/>
      <c r="Q293" s="754"/>
      <c r="R293" s="754"/>
    </row>
    <row r="294" spans="2:18" s="755" customFormat="1" x14ac:dyDescent="0.2">
      <c r="B294" s="958" t="s">
        <v>549</v>
      </c>
      <c r="C294" s="1179"/>
      <c r="D294" s="1006"/>
      <c r="E294" s="1090"/>
      <c r="F294" s="1510"/>
      <c r="G294" s="1510"/>
      <c r="H294" s="1073">
        <f t="shared" si="50"/>
        <v>0</v>
      </c>
      <c r="I294" s="960">
        <f t="shared" si="51"/>
        <v>0</v>
      </c>
      <c r="J294" s="928">
        <f t="shared" si="52"/>
        <v>0</v>
      </c>
      <c r="L294" s="754"/>
      <c r="M294" s="754">
        <f t="shared" si="47"/>
        <v>0</v>
      </c>
      <c r="N294" s="754">
        <f t="shared" si="48"/>
        <v>0</v>
      </c>
      <c r="O294" s="754">
        <f t="shared" si="49"/>
        <v>0</v>
      </c>
      <c r="P294" s="754"/>
      <c r="Q294" s="754"/>
      <c r="R294" s="754"/>
    </row>
    <row r="295" spans="2:18" s="755" customFormat="1" x14ac:dyDescent="0.2">
      <c r="B295" s="958" t="s">
        <v>550</v>
      </c>
      <c r="C295" s="1179"/>
      <c r="D295" s="1006"/>
      <c r="E295" s="1090"/>
      <c r="F295" s="1510"/>
      <c r="G295" s="1510"/>
      <c r="H295" s="1073">
        <f t="shared" si="50"/>
        <v>0</v>
      </c>
      <c r="I295" s="960">
        <f t="shared" si="51"/>
        <v>0</v>
      </c>
      <c r="J295" s="928">
        <f t="shared" si="52"/>
        <v>0</v>
      </c>
      <c r="L295" s="754"/>
      <c r="M295" s="754">
        <f t="shared" si="47"/>
        <v>0</v>
      </c>
      <c r="N295" s="754">
        <f t="shared" si="48"/>
        <v>0</v>
      </c>
      <c r="O295" s="754">
        <f t="shared" si="49"/>
        <v>0</v>
      </c>
      <c r="P295" s="754"/>
      <c r="Q295" s="754"/>
      <c r="R295" s="754"/>
    </row>
    <row r="296" spans="2:18" s="755" customFormat="1" x14ac:dyDescent="0.2">
      <c r="B296" s="958" t="s">
        <v>551</v>
      </c>
      <c r="C296" s="1179"/>
      <c r="D296" s="1006"/>
      <c r="E296" s="1090"/>
      <c r="F296" s="1510"/>
      <c r="G296" s="1510"/>
      <c r="H296" s="1073">
        <f t="shared" si="50"/>
        <v>0</v>
      </c>
      <c r="I296" s="960">
        <f t="shared" si="51"/>
        <v>0</v>
      </c>
      <c r="J296" s="928">
        <f t="shared" si="52"/>
        <v>0</v>
      </c>
      <c r="L296" s="754"/>
      <c r="M296" s="754">
        <f t="shared" si="47"/>
        <v>0</v>
      </c>
      <c r="N296" s="754">
        <f t="shared" si="48"/>
        <v>0</v>
      </c>
      <c r="O296" s="754">
        <f t="shared" si="49"/>
        <v>0</v>
      </c>
      <c r="P296" s="754"/>
      <c r="Q296" s="754"/>
      <c r="R296" s="754"/>
    </row>
    <row r="297" spans="2:18" s="755" customFormat="1" x14ac:dyDescent="0.2">
      <c r="B297" s="958" t="s">
        <v>552</v>
      </c>
      <c r="C297" s="1179"/>
      <c r="D297" s="1006"/>
      <c r="E297" s="1090"/>
      <c r="F297" s="1510"/>
      <c r="G297" s="1510"/>
      <c r="H297" s="1073">
        <f t="shared" si="50"/>
        <v>0</v>
      </c>
      <c r="I297" s="960">
        <f t="shared" si="51"/>
        <v>0</v>
      </c>
      <c r="J297" s="928">
        <f t="shared" si="52"/>
        <v>0</v>
      </c>
      <c r="L297" s="754"/>
      <c r="M297" s="754">
        <f t="shared" si="47"/>
        <v>0</v>
      </c>
      <c r="N297" s="754">
        <f t="shared" si="48"/>
        <v>0</v>
      </c>
      <c r="O297" s="754">
        <f t="shared" si="49"/>
        <v>0</v>
      </c>
      <c r="P297" s="754"/>
      <c r="Q297" s="754"/>
      <c r="R297" s="754"/>
    </row>
    <row r="298" spans="2:18" s="755" customFormat="1" x14ac:dyDescent="0.2">
      <c r="B298" s="958" t="s">
        <v>553</v>
      </c>
      <c r="C298" s="1179"/>
      <c r="D298" s="1006"/>
      <c r="E298" s="1090"/>
      <c r="F298" s="1510"/>
      <c r="G298" s="1510"/>
      <c r="H298" s="1073">
        <f t="shared" si="50"/>
        <v>0</v>
      </c>
      <c r="I298" s="960">
        <f t="shared" si="51"/>
        <v>0</v>
      </c>
      <c r="J298" s="928">
        <f t="shared" si="52"/>
        <v>0</v>
      </c>
      <c r="L298" s="754"/>
      <c r="M298" s="754">
        <f t="shared" si="47"/>
        <v>0</v>
      </c>
      <c r="N298" s="754">
        <f t="shared" si="48"/>
        <v>0</v>
      </c>
      <c r="O298" s="754">
        <f t="shared" si="49"/>
        <v>0</v>
      </c>
      <c r="P298" s="754"/>
      <c r="Q298" s="754"/>
      <c r="R298" s="754"/>
    </row>
    <row r="299" spans="2:18" s="755" customFormat="1" x14ac:dyDescent="0.2">
      <c r="B299" s="958" t="s">
        <v>554</v>
      </c>
      <c r="C299" s="1179"/>
      <c r="D299" s="1006"/>
      <c r="E299" s="1090"/>
      <c r="F299" s="1510"/>
      <c r="G299" s="1510"/>
      <c r="H299" s="1073">
        <f t="shared" si="50"/>
        <v>0</v>
      </c>
      <c r="I299" s="960">
        <f t="shared" si="51"/>
        <v>0</v>
      </c>
      <c r="J299" s="928">
        <f t="shared" si="52"/>
        <v>0</v>
      </c>
      <c r="L299" s="754"/>
      <c r="M299" s="754">
        <f t="shared" si="47"/>
        <v>0</v>
      </c>
      <c r="N299" s="754">
        <f t="shared" si="48"/>
        <v>0</v>
      </c>
      <c r="O299" s="754">
        <f t="shared" si="49"/>
        <v>0</v>
      </c>
      <c r="P299" s="754"/>
      <c r="Q299" s="754"/>
      <c r="R299" s="754"/>
    </row>
    <row r="300" spans="2:18" s="755" customFormat="1" x14ac:dyDescent="0.2">
      <c r="B300" s="958" t="s">
        <v>721</v>
      </c>
      <c r="C300" s="1179"/>
      <c r="D300" s="1006"/>
      <c r="E300" s="1090"/>
      <c r="F300" s="1510"/>
      <c r="G300" s="1510"/>
      <c r="H300" s="1073">
        <f t="shared" si="50"/>
        <v>0</v>
      </c>
      <c r="I300" s="960">
        <f t="shared" si="51"/>
        <v>0</v>
      </c>
      <c r="J300" s="928">
        <f t="shared" si="52"/>
        <v>0</v>
      </c>
      <c r="L300" s="754"/>
      <c r="M300" s="754">
        <f t="shared" si="47"/>
        <v>0</v>
      </c>
      <c r="N300" s="754">
        <f t="shared" si="48"/>
        <v>0</v>
      </c>
      <c r="O300" s="754">
        <f t="shared" si="49"/>
        <v>0</v>
      </c>
      <c r="P300" s="754"/>
      <c r="Q300" s="754"/>
      <c r="R300" s="754"/>
    </row>
    <row r="301" spans="2:18" s="755" customFormat="1" x14ac:dyDescent="0.2">
      <c r="B301" s="958" t="s">
        <v>722</v>
      </c>
      <c r="C301" s="1179"/>
      <c r="D301" s="1006"/>
      <c r="E301" s="1090"/>
      <c r="F301" s="1510"/>
      <c r="G301" s="1510"/>
      <c r="H301" s="1073">
        <f t="shared" si="50"/>
        <v>0</v>
      </c>
      <c r="I301" s="960">
        <f t="shared" si="51"/>
        <v>0</v>
      </c>
      <c r="J301" s="928">
        <f t="shared" si="52"/>
        <v>0</v>
      </c>
      <c r="L301" s="754"/>
      <c r="M301" s="754">
        <f t="shared" si="47"/>
        <v>0</v>
      </c>
      <c r="N301" s="754">
        <f t="shared" si="48"/>
        <v>0</v>
      </c>
      <c r="O301" s="754">
        <f t="shared" si="49"/>
        <v>0</v>
      </c>
      <c r="P301" s="754"/>
      <c r="Q301" s="754"/>
      <c r="R301" s="754"/>
    </row>
    <row r="302" spans="2:18" s="755" customFormat="1" x14ac:dyDescent="0.2">
      <c r="B302" s="1074"/>
      <c r="C302" s="866"/>
      <c r="D302" s="866"/>
      <c r="E302" s="1075"/>
      <c r="F302" s="1076"/>
      <c r="G302" s="1077">
        <f>SUM(O292:O301)</f>
        <v>0</v>
      </c>
      <c r="H302" s="867" t="s">
        <v>283</v>
      </c>
      <c r="I302" s="820">
        <f>SUM(I292:I301)</f>
        <v>0</v>
      </c>
      <c r="J302" s="821">
        <f>SUM(J292:J301)</f>
        <v>0</v>
      </c>
      <c r="L302" s="754"/>
      <c r="M302" s="754"/>
      <c r="N302" s="754"/>
      <c r="O302" s="754"/>
      <c r="P302" s="754"/>
      <c r="Q302" s="754"/>
      <c r="R302" s="754"/>
    </row>
    <row r="303" spans="2:18" s="755" customFormat="1" ht="21" customHeight="1" x14ac:dyDescent="0.2">
      <c r="B303" s="1114"/>
      <c r="C303" s="1115"/>
      <c r="D303" s="1115"/>
      <c r="E303" s="1115"/>
      <c r="F303" s="1115"/>
      <c r="G303" s="932"/>
      <c r="H303" s="828" t="s">
        <v>781</v>
      </c>
      <c r="I303" s="939">
        <f>I287+I302</f>
        <v>0</v>
      </c>
      <c r="J303" s="1129">
        <f>J287+J302</f>
        <v>0</v>
      </c>
      <c r="L303" s="754"/>
      <c r="M303" s="754"/>
      <c r="N303" s="754"/>
      <c r="O303" s="754"/>
      <c r="P303" s="754"/>
      <c r="Q303" s="754"/>
      <c r="R303" s="754"/>
    </row>
    <row r="304" spans="2:18" s="842" customFormat="1" ht="15" x14ac:dyDescent="0.2">
      <c r="B304" s="836"/>
      <c r="C304" s="837"/>
      <c r="D304" s="837"/>
      <c r="E304" s="837"/>
      <c r="F304" s="836"/>
      <c r="G304" s="836"/>
      <c r="H304" s="837"/>
      <c r="I304" s="967"/>
      <c r="J304" s="967"/>
      <c r="L304" s="840"/>
      <c r="M304" s="754"/>
      <c r="N304" s="754"/>
      <c r="O304" s="754"/>
      <c r="P304" s="840"/>
      <c r="Q304" s="840"/>
      <c r="R304" s="840"/>
    </row>
    <row r="305" spans="2:18" s="842" customFormat="1" ht="15" x14ac:dyDescent="0.2">
      <c r="B305" s="968"/>
      <c r="C305" s="1092"/>
      <c r="D305" s="1092"/>
      <c r="E305" s="1092"/>
      <c r="F305" s="968"/>
      <c r="G305" s="968"/>
      <c r="H305" s="1092"/>
      <c r="I305" s="981"/>
      <c r="J305" s="981"/>
      <c r="L305" s="840"/>
      <c r="M305" s="754"/>
      <c r="N305" s="754"/>
      <c r="O305" s="754"/>
      <c r="P305" s="840"/>
      <c r="Q305" s="840"/>
      <c r="R305" s="840"/>
    </row>
    <row r="306" spans="2:18" s="682" customFormat="1" ht="21" customHeight="1" x14ac:dyDescent="0.25">
      <c r="B306" s="710" t="s">
        <v>782</v>
      </c>
      <c r="C306" s="1066"/>
      <c r="D306" s="1066"/>
      <c r="E306" s="712"/>
      <c r="F306" s="714"/>
      <c r="G306" s="714"/>
      <c r="H306" s="714"/>
      <c r="I306" s="714"/>
      <c r="J306" s="1067"/>
      <c r="L306" s="685"/>
      <c r="M306" s="754"/>
      <c r="N306" s="754"/>
      <c r="O306" s="754"/>
      <c r="P306" s="685"/>
      <c r="Q306" s="685"/>
      <c r="R306" s="685"/>
    </row>
    <row r="307" spans="2:18" s="736" customFormat="1" x14ac:dyDescent="0.2">
      <c r="B307" s="809"/>
      <c r="C307" s="1053" t="s">
        <v>491</v>
      </c>
      <c r="D307" s="1109" t="s">
        <v>774</v>
      </c>
      <c r="E307" s="1003" t="s">
        <v>775</v>
      </c>
      <c r="F307" s="810" t="s">
        <v>724</v>
      </c>
      <c r="G307" s="810" t="s">
        <v>806</v>
      </c>
      <c r="H307" s="1068" t="s">
        <v>442</v>
      </c>
      <c r="I307" s="1069" t="s">
        <v>443</v>
      </c>
      <c r="J307" s="1070" t="s">
        <v>443</v>
      </c>
      <c r="L307" s="734"/>
      <c r="M307" s="754"/>
      <c r="N307" s="754"/>
      <c r="O307" s="754"/>
      <c r="P307" s="734"/>
      <c r="Q307" s="734"/>
      <c r="R307" s="734"/>
    </row>
    <row r="308" spans="2:18" s="747" customFormat="1" x14ac:dyDescent="0.2">
      <c r="B308" s="849"/>
      <c r="C308" s="1110"/>
      <c r="D308" s="1112" t="s">
        <v>783</v>
      </c>
      <c r="E308" s="1123"/>
      <c r="F308" s="1100" t="s">
        <v>1018</v>
      </c>
      <c r="G308" s="1100" t="s">
        <v>1018</v>
      </c>
      <c r="H308" s="1101" t="s">
        <v>448</v>
      </c>
      <c r="I308" s="1101" t="s">
        <v>445</v>
      </c>
      <c r="J308" s="1102" t="s">
        <v>315</v>
      </c>
      <c r="L308" s="745"/>
      <c r="M308" s="754"/>
      <c r="N308" s="754"/>
      <c r="O308" s="754"/>
      <c r="P308" s="745"/>
      <c r="Q308" s="745"/>
      <c r="R308" s="745"/>
    </row>
    <row r="309" spans="2:18" s="747" customFormat="1" x14ac:dyDescent="0.2">
      <c r="B309" s="737"/>
      <c r="C309" s="738"/>
      <c r="D309" s="906" t="s">
        <v>629</v>
      </c>
      <c r="E309" s="906"/>
      <c r="F309" s="906"/>
      <c r="G309" s="906"/>
      <c r="H309" s="858"/>
      <c r="I309" s="858"/>
      <c r="J309" s="859"/>
      <c r="L309" s="745"/>
      <c r="M309" s="754"/>
      <c r="N309" s="754"/>
      <c r="O309" s="754"/>
      <c r="P309" s="745"/>
      <c r="Q309" s="745"/>
      <c r="R309" s="745"/>
    </row>
    <row r="310" spans="2:18" s="755" customFormat="1" ht="16.5" customHeight="1" x14ac:dyDescent="0.2">
      <c r="B310" s="1130" t="s">
        <v>777</v>
      </c>
      <c r="C310" s="1125"/>
      <c r="D310" s="1126"/>
      <c r="E310" s="1127"/>
      <c r="F310" s="1127"/>
      <c r="G310" s="1127"/>
      <c r="H310" s="1126"/>
      <c r="I310" s="1126"/>
      <c r="J310" s="1128"/>
      <c r="L310" s="754"/>
      <c r="M310" s="754"/>
      <c r="N310" s="754"/>
      <c r="O310" s="754"/>
      <c r="P310" s="754"/>
      <c r="Q310" s="754"/>
      <c r="R310" s="754"/>
    </row>
    <row r="311" spans="2:18" s="755" customFormat="1" x14ac:dyDescent="0.2">
      <c r="B311" s="958" t="s">
        <v>547</v>
      </c>
      <c r="C311" s="1052"/>
      <c r="D311" s="1006"/>
      <c r="E311" s="1090"/>
      <c r="F311" s="1510"/>
      <c r="G311" s="1510"/>
      <c r="H311" s="1073">
        <f>IF(D311="ในประเทศ",100,IF(D311="นานาชาติ",200,0))</f>
        <v>0</v>
      </c>
      <c r="I311" s="960">
        <f>IF(OR(E311="",E311=0),0,H311/E311)</f>
        <v>0</v>
      </c>
      <c r="J311" s="928">
        <f t="shared" ref="J311:J320" si="53">I311/15</f>
        <v>0</v>
      </c>
      <c r="L311" s="754"/>
      <c r="M311" s="754">
        <f t="shared" si="47"/>
        <v>0</v>
      </c>
      <c r="N311" s="754">
        <f t="shared" si="48"/>
        <v>0</v>
      </c>
      <c r="O311" s="754">
        <f t="shared" si="49"/>
        <v>0</v>
      </c>
      <c r="P311" s="754"/>
      <c r="Q311" s="754"/>
      <c r="R311" s="754"/>
    </row>
    <row r="312" spans="2:18" s="755" customFormat="1" x14ac:dyDescent="0.2">
      <c r="B312" s="958" t="s">
        <v>548</v>
      </c>
      <c r="C312" s="1052"/>
      <c r="D312" s="1006"/>
      <c r="E312" s="1090"/>
      <c r="F312" s="1510"/>
      <c r="G312" s="1510"/>
      <c r="H312" s="1073">
        <f t="shared" ref="H312:H320" si="54">IF(D312="ในประเทศ",100,IF(D312="นานาชาติ",200,0))</f>
        <v>0</v>
      </c>
      <c r="I312" s="960">
        <f t="shared" ref="I312:I320" si="55">IF(OR(E312="",E312=0),0,H312/E312)</f>
        <v>0</v>
      </c>
      <c r="J312" s="928">
        <f t="shared" si="53"/>
        <v>0</v>
      </c>
      <c r="L312" s="754"/>
      <c r="M312" s="754">
        <f t="shared" si="47"/>
        <v>0</v>
      </c>
      <c r="N312" s="754">
        <f t="shared" si="48"/>
        <v>0</v>
      </c>
      <c r="O312" s="754">
        <f t="shared" si="49"/>
        <v>0</v>
      </c>
      <c r="P312" s="754"/>
      <c r="Q312" s="754"/>
      <c r="R312" s="754"/>
    </row>
    <row r="313" spans="2:18" s="755" customFormat="1" x14ac:dyDescent="0.2">
      <c r="B313" s="958" t="s">
        <v>549</v>
      </c>
      <c r="C313" s="1052"/>
      <c r="D313" s="1006"/>
      <c r="E313" s="1090"/>
      <c r="F313" s="1510"/>
      <c r="G313" s="1510"/>
      <c r="H313" s="1073">
        <f t="shared" si="54"/>
        <v>0</v>
      </c>
      <c r="I313" s="960">
        <f t="shared" si="55"/>
        <v>0</v>
      </c>
      <c r="J313" s="928">
        <f t="shared" si="53"/>
        <v>0</v>
      </c>
      <c r="L313" s="754"/>
      <c r="M313" s="754">
        <f t="shared" si="47"/>
        <v>0</v>
      </c>
      <c r="N313" s="754">
        <f t="shared" si="48"/>
        <v>0</v>
      </c>
      <c r="O313" s="754">
        <f t="shared" si="49"/>
        <v>0</v>
      </c>
      <c r="P313" s="754"/>
      <c r="Q313" s="754"/>
      <c r="R313" s="754"/>
    </row>
    <row r="314" spans="2:18" s="755" customFormat="1" x14ac:dyDescent="0.2">
      <c r="B314" s="958" t="s">
        <v>550</v>
      </c>
      <c r="C314" s="1052"/>
      <c r="D314" s="1006"/>
      <c r="E314" s="1090"/>
      <c r="F314" s="1510"/>
      <c r="G314" s="1510"/>
      <c r="H314" s="1073">
        <f t="shared" si="54"/>
        <v>0</v>
      </c>
      <c r="I314" s="960">
        <f t="shared" si="55"/>
        <v>0</v>
      </c>
      <c r="J314" s="928">
        <f t="shared" si="53"/>
        <v>0</v>
      </c>
      <c r="L314" s="754"/>
      <c r="M314" s="754">
        <f t="shared" si="47"/>
        <v>0</v>
      </c>
      <c r="N314" s="754">
        <f t="shared" si="48"/>
        <v>0</v>
      </c>
      <c r="O314" s="754">
        <f t="shared" si="49"/>
        <v>0</v>
      </c>
      <c r="P314" s="754"/>
      <c r="Q314" s="754"/>
      <c r="R314" s="754"/>
    </row>
    <row r="315" spans="2:18" s="755" customFormat="1" x14ac:dyDescent="0.2">
      <c r="B315" s="958" t="s">
        <v>551</v>
      </c>
      <c r="C315" s="1052"/>
      <c r="D315" s="1006"/>
      <c r="E315" s="1090"/>
      <c r="F315" s="1510"/>
      <c r="G315" s="1510"/>
      <c r="H315" s="1073">
        <f t="shared" si="54"/>
        <v>0</v>
      </c>
      <c r="I315" s="960">
        <f t="shared" si="55"/>
        <v>0</v>
      </c>
      <c r="J315" s="928">
        <f t="shared" si="53"/>
        <v>0</v>
      </c>
      <c r="L315" s="754"/>
      <c r="M315" s="754">
        <f t="shared" si="47"/>
        <v>0</v>
      </c>
      <c r="N315" s="754">
        <f t="shared" si="48"/>
        <v>0</v>
      </c>
      <c r="O315" s="754">
        <f t="shared" si="49"/>
        <v>0</v>
      </c>
      <c r="P315" s="754"/>
      <c r="Q315" s="754"/>
      <c r="R315" s="754"/>
    </row>
    <row r="316" spans="2:18" s="755" customFormat="1" x14ac:dyDescent="0.2">
      <c r="B316" s="958" t="s">
        <v>552</v>
      </c>
      <c r="C316" s="1052"/>
      <c r="D316" s="1006"/>
      <c r="E316" s="1090"/>
      <c r="F316" s="1510"/>
      <c r="G316" s="1510"/>
      <c r="H316" s="1073">
        <f t="shared" si="54"/>
        <v>0</v>
      </c>
      <c r="I316" s="960">
        <f t="shared" si="55"/>
        <v>0</v>
      </c>
      <c r="J316" s="928">
        <f t="shared" si="53"/>
        <v>0</v>
      </c>
      <c r="L316" s="754"/>
      <c r="M316" s="754">
        <f t="shared" si="47"/>
        <v>0</v>
      </c>
      <c r="N316" s="754">
        <f t="shared" si="48"/>
        <v>0</v>
      </c>
      <c r="O316" s="754">
        <f t="shared" si="49"/>
        <v>0</v>
      </c>
      <c r="P316" s="754"/>
      <c r="Q316" s="754"/>
      <c r="R316" s="754"/>
    </row>
    <row r="317" spans="2:18" s="755" customFormat="1" x14ac:dyDescent="0.2">
      <c r="B317" s="958" t="s">
        <v>553</v>
      </c>
      <c r="C317" s="1052"/>
      <c r="D317" s="1006"/>
      <c r="E317" s="1090"/>
      <c r="F317" s="1510"/>
      <c r="G317" s="1510"/>
      <c r="H317" s="1073">
        <f t="shared" si="54"/>
        <v>0</v>
      </c>
      <c r="I317" s="960">
        <f t="shared" si="55"/>
        <v>0</v>
      </c>
      <c r="J317" s="928">
        <f t="shared" si="53"/>
        <v>0</v>
      </c>
      <c r="L317" s="754"/>
      <c r="M317" s="754">
        <f t="shared" si="47"/>
        <v>0</v>
      </c>
      <c r="N317" s="754">
        <f t="shared" si="48"/>
        <v>0</v>
      </c>
      <c r="O317" s="754">
        <f t="shared" si="49"/>
        <v>0</v>
      </c>
      <c r="P317" s="754"/>
      <c r="Q317" s="754"/>
      <c r="R317" s="754"/>
    </row>
    <row r="318" spans="2:18" s="755" customFormat="1" x14ac:dyDescent="0.2">
      <c r="B318" s="958" t="s">
        <v>554</v>
      </c>
      <c r="C318" s="1052"/>
      <c r="D318" s="1006"/>
      <c r="E318" s="1090"/>
      <c r="F318" s="1510"/>
      <c r="G318" s="1510"/>
      <c r="H318" s="1073">
        <f t="shared" si="54"/>
        <v>0</v>
      </c>
      <c r="I318" s="960">
        <f t="shared" si="55"/>
        <v>0</v>
      </c>
      <c r="J318" s="928">
        <f t="shared" si="53"/>
        <v>0</v>
      </c>
      <c r="L318" s="754"/>
      <c r="M318" s="754">
        <f t="shared" si="47"/>
        <v>0</v>
      </c>
      <c r="N318" s="754">
        <f t="shared" si="48"/>
        <v>0</v>
      </c>
      <c r="O318" s="754">
        <f t="shared" si="49"/>
        <v>0</v>
      </c>
      <c r="P318" s="754"/>
      <c r="Q318" s="754"/>
      <c r="R318" s="754"/>
    </row>
    <row r="319" spans="2:18" s="755" customFormat="1" x14ac:dyDescent="0.2">
      <c r="B319" s="958" t="s">
        <v>721</v>
      </c>
      <c r="C319" s="1052"/>
      <c r="D319" s="1006"/>
      <c r="E319" s="1090"/>
      <c r="F319" s="1510"/>
      <c r="G319" s="1510"/>
      <c r="H319" s="1073">
        <f t="shared" si="54"/>
        <v>0</v>
      </c>
      <c r="I319" s="960">
        <f t="shared" si="55"/>
        <v>0</v>
      </c>
      <c r="J319" s="928">
        <f t="shared" si="53"/>
        <v>0</v>
      </c>
      <c r="L319" s="754"/>
      <c r="M319" s="754">
        <f t="shared" si="47"/>
        <v>0</v>
      </c>
      <c r="N319" s="754">
        <f t="shared" si="48"/>
        <v>0</v>
      </c>
      <c r="O319" s="754">
        <f t="shared" si="49"/>
        <v>0</v>
      </c>
      <c r="P319" s="754"/>
      <c r="Q319" s="754"/>
      <c r="R319" s="754"/>
    </row>
    <row r="320" spans="2:18" s="755" customFormat="1" x14ac:dyDescent="0.2">
      <c r="B320" s="958" t="s">
        <v>722</v>
      </c>
      <c r="C320" s="1052"/>
      <c r="D320" s="1006"/>
      <c r="E320" s="1090"/>
      <c r="F320" s="1510"/>
      <c r="G320" s="1510"/>
      <c r="H320" s="1073">
        <f t="shared" si="54"/>
        <v>0</v>
      </c>
      <c r="I320" s="960">
        <f t="shared" si="55"/>
        <v>0</v>
      </c>
      <c r="J320" s="928">
        <f t="shared" si="53"/>
        <v>0</v>
      </c>
      <c r="L320" s="754"/>
      <c r="M320" s="754">
        <f t="shared" si="47"/>
        <v>0</v>
      </c>
      <c r="N320" s="754">
        <f t="shared" si="48"/>
        <v>0</v>
      </c>
      <c r="O320" s="754">
        <f t="shared" si="49"/>
        <v>0</v>
      </c>
      <c r="P320" s="754"/>
      <c r="Q320" s="754"/>
      <c r="R320" s="754"/>
    </row>
    <row r="321" spans="2:18" s="755" customFormat="1" x14ac:dyDescent="0.2">
      <c r="B321" s="1074"/>
      <c r="C321" s="866"/>
      <c r="D321" s="866"/>
      <c r="E321" s="1075"/>
      <c r="F321" s="1076"/>
      <c r="G321" s="1077">
        <f>SUM(O311:O320)</f>
        <v>0</v>
      </c>
      <c r="H321" s="867" t="s">
        <v>283</v>
      </c>
      <c r="I321" s="776">
        <f>SUM(I311:I320)</f>
        <v>0</v>
      </c>
      <c r="J321" s="777">
        <f>SUM(J311:J320)</f>
        <v>0</v>
      </c>
      <c r="L321" s="754"/>
      <c r="M321" s="754"/>
      <c r="N321" s="754"/>
      <c r="O321" s="754"/>
      <c r="P321" s="754"/>
      <c r="Q321" s="754"/>
      <c r="R321" s="754"/>
    </row>
    <row r="322" spans="2:18" s="736" customFormat="1" x14ac:dyDescent="0.2">
      <c r="B322" s="809"/>
      <c r="C322" s="1053" t="s">
        <v>491</v>
      </c>
      <c r="D322" s="810" t="s">
        <v>774</v>
      </c>
      <c r="E322" s="1003" t="s">
        <v>563</v>
      </c>
      <c r="F322" s="810" t="s">
        <v>719</v>
      </c>
      <c r="G322" s="810" t="s">
        <v>806</v>
      </c>
      <c r="H322" s="1068" t="s">
        <v>442</v>
      </c>
      <c r="I322" s="1069" t="s">
        <v>443</v>
      </c>
      <c r="J322" s="1070" t="s">
        <v>443</v>
      </c>
      <c r="L322" s="734"/>
      <c r="M322" s="754"/>
      <c r="N322" s="754"/>
      <c r="O322" s="754"/>
      <c r="P322" s="734"/>
      <c r="Q322" s="734"/>
      <c r="R322" s="734"/>
    </row>
    <row r="323" spans="2:18" s="747" customFormat="1" x14ac:dyDescent="0.2">
      <c r="B323" s="849"/>
      <c r="C323" s="1110"/>
      <c r="D323" s="732" t="s">
        <v>783</v>
      </c>
      <c r="E323" s="732" t="s">
        <v>720</v>
      </c>
      <c r="F323" s="1100" t="s">
        <v>1018</v>
      </c>
      <c r="G323" s="1100" t="s">
        <v>1018</v>
      </c>
      <c r="H323" s="1101" t="s">
        <v>448</v>
      </c>
      <c r="I323" s="1101" t="s">
        <v>445</v>
      </c>
      <c r="J323" s="1102" t="s">
        <v>315</v>
      </c>
      <c r="L323" s="745"/>
      <c r="M323" s="754"/>
      <c r="N323" s="754"/>
      <c r="O323" s="754"/>
      <c r="P323" s="745"/>
      <c r="Q323" s="745"/>
      <c r="R323" s="745"/>
    </row>
    <row r="324" spans="2:18" s="747" customFormat="1" x14ac:dyDescent="0.2">
      <c r="B324" s="737"/>
      <c r="C324" s="738"/>
      <c r="D324" s="906" t="s">
        <v>629</v>
      </c>
      <c r="E324" s="906"/>
      <c r="F324" s="906"/>
      <c r="G324" s="906"/>
      <c r="H324" s="858"/>
      <c r="I324" s="858"/>
      <c r="J324" s="859"/>
      <c r="L324" s="745"/>
      <c r="M324" s="754"/>
      <c r="N324" s="754"/>
      <c r="O324" s="754"/>
      <c r="P324" s="745"/>
      <c r="Q324" s="745"/>
      <c r="R324" s="745"/>
    </row>
    <row r="325" spans="2:18" s="755" customFormat="1" ht="15.75" customHeight="1" x14ac:dyDescent="0.2">
      <c r="B325" s="1130" t="s">
        <v>780</v>
      </c>
      <c r="C325" s="1125"/>
      <c r="D325" s="1131"/>
      <c r="E325" s="1131"/>
      <c r="F325" s="1131"/>
      <c r="G325" s="1131"/>
      <c r="H325" s="1126"/>
      <c r="I325" s="1126"/>
      <c r="J325" s="1128"/>
      <c r="L325" s="754"/>
      <c r="M325" s="754"/>
      <c r="N325" s="754"/>
      <c r="O325" s="754"/>
      <c r="P325" s="754"/>
      <c r="Q325" s="754"/>
      <c r="R325" s="754"/>
    </row>
    <row r="326" spans="2:18" s="755" customFormat="1" x14ac:dyDescent="0.2">
      <c r="B326" s="958" t="s">
        <v>547</v>
      </c>
      <c r="C326" s="1052"/>
      <c r="D326" s="1006"/>
      <c r="E326" s="1090"/>
      <c r="F326" s="1510"/>
      <c r="G326" s="1510"/>
      <c r="H326" s="1073">
        <f>IF(OR(D326="ในประเทศ",D326="นานาชาติ"),1,0)</f>
        <v>0</v>
      </c>
      <c r="I326" s="960">
        <f>H326*E326</f>
        <v>0</v>
      </c>
      <c r="J326" s="928">
        <f t="shared" ref="J326:J335" si="56">I326/15</f>
        <v>0</v>
      </c>
      <c r="L326" s="754"/>
      <c r="M326" s="754">
        <f>IF(F326&lt;&gt;"",IF(F326&lt;$M$13,0,1),0)</f>
        <v>0</v>
      </c>
      <c r="N326" s="754">
        <f>IF(G326&lt;&gt;"",IF(G326&gt;$N$13,1,IF(G326&gt;=$M$13,1,0)),0)</f>
        <v>0</v>
      </c>
      <c r="O326" s="754">
        <f>IF(OR(M326=1,N326=1),1,0)</f>
        <v>0</v>
      </c>
      <c r="P326" s="754"/>
      <c r="Q326" s="754"/>
      <c r="R326" s="754"/>
    </row>
    <row r="327" spans="2:18" s="755" customFormat="1" x14ac:dyDescent="0.2">
      <c r="B327" s="958" t="s">
        <v>548</v>
      </c>
      <c r="C327" s="1052"/>
      <c r="D327" s="1006"/>
      <c r="E327" s="1090"/>
      <c r="F327" s="1510"/>
      <c r="G327" s="1510"/>
      <c r="H327" s="1073">
        <f t="shared" ref="H327:H335" si="57">IF(OR(D327="ในประเทศ",D327="นานาชาติ"),1,0)</f>
        <v>0</v>
      </c>
      <c r="I327" s="960">
        <f t="shared" ref="I327:I335" si="58">H327*E327</f>
        <v>0</v>
      </c>
      <c r="J327" s="928">
        <f t="shared" si="56"/>
        <v>0</v>
      </c>
      <c r="L327" s="754"/>
      <c r="M327" s="754">
        <f t="shared" si="47"/>
        <v>0</v>
      </c>
      <c r="N327" s="754">
        <f t="shared" si="48"/>
        <v>0</v>
      </c>
      <c r="O327" s="754">
        <f t="shared" si="49"/>
        <v>0</v>
      </c>
      <c r="P327" s="754"/>
      <c r="Q327" s="754"/>
      <c r="R327" s="754"/>
    </row>
    <row r="328" spans="2:18" s="755" customFormat="1" x14ac:dyDescent="0.2">
      <c r="B328" s="958" t="s">
        <v>549</v>
      </c>
      <c r="C328" s="1052"/>
      <c r="D328" s="1006"/>
      <c r="E328" s="1090"/>
      <c r="F328" s="1510"/>
      <c r="G328" s="1510"/>
      <c r="H328" s="1073">
        <f t="shared" si="57"/>
        <v>0</v>
      </c>
      <c r="I328" s="960">
        <f t="shared" si="58"/>
        <v>0</v>
      </c>
      <c r="J328" s="928">
        <f t="shared" si="56"/>
        <v>0</v>
      </c>
      <c r="L328" s="754"/>
      <c r="M328" s="754">
        <f t="shared" si="47"/>
        <v>0</v>
      </c>
      <c r="N328" s="754">
        <f t="shared" si="48"/>
        <v>0</v>
      </c>
      <c r="O328" s="754">
        <f t="shared" si="49"/>
        <v>0</v>
      </c>
      <c r="P328" s="754"/>
      <c r="Q328" s="754"/>
      <c r="R328" s="754"/>
    </row>
    <row r="329" spans="2:18" s="755" customFormat="1" x14ac:dyDescent="0.2">
      <c r="B329" s="958" t="s">
        <v>550</v>
      </c>
      <c r="C329" s="1052"/>
      <c r="D329" s="1006"/>
      <c r="E329" s="1090"/>
      <c r="F329" s="1510"/>
      <c r="G329" s="1510"/>
      <c r="H329" s="1073">
        <f t="shared" si="57"/>
        <v>0</v>
      </c>
      <c r="I329" s="960">
        <f t="shared" si="58"/>
        <v>0</v>
      </c>
      <c r="J329" s="928">
        <f t="shared" si="56"/>
        <v>0</v>
      </c>
      <c r="L329" s="754"/>
      <c r="M329" s="754">
        <f t="shared" si="47"/>
        <v>0</v>
      </c>
      <c r="N329" s="754">
        <f t="shared" si="48"/>
        <v>0</v>
      </c>
      <c r="O329" s="754">
        <f t="shared" si="49"/>
        <v>0</v>
      </c>
      <c r="P329" s="754"/>
      <c r="Q329" s="754"/>
      <c r="R329" s="754"/>
    </row>
    <row r="330" spans="2:18" s="755" customFormat="1" x14ac:dyDescent="0.2">
      <c r="B330" s="958" t="s">
        <v>551</v>
      </c>
      <c r="C330" s="1052"/>
      <c r="D330" s="1006"/>
      <c r="E330" s="1090"/>
      <c r="F330" s="1510"/>
      <c r="G330" s="1510"/>
      <c r="H330" s="1073">
        <f t="shared" si="57"/>
        <v>0</v>
      </c>
      <c r="I330" s="960">
        <f t="shared" si="58"/>
        <v>0</v>
      </c>
      <c r="J330" s="928">
        <f t="shared" si="56"/>
        <v>0</v>
      </c>
      <c r="L330" s="754"/>
      <c r="M330" s="754">
        <f t="shared" si="47"/>
        <v>0</v>
      </c>
      <c r="N330" s="754">
        <f t="shared" si="48"/>
        <v>0</v>
      </c>
      <c r="O330" s="754">
        <f t="shared" si="49"/>
        <v>0</v>
      </c>
      <c r="P330" s="754"/>
      <c r="Q330" s="754"/>
      <c r="R330" s="754"/>
    </row>
    <row r="331" spans="2:18" s="755" customFormat="1" x14ac:dyDescent="0.2">
      <c r="B331" s="958" t="s">
        <v>552</v>
      </c>
      <c r="C331" s="1052"/>
      <c r="D331" s="1006"/>
      <c r="E331" s="1090"/>
      <c r="F331" s="1510"/>
      <c r="G331" s="1510"/>
      <c r="H331" s="1073">
        <f t="shared" si="57"/>
        <v>0</v>
      </c>
      <c r="I331" s="960">
        <f t="shared" si="58"/>
        <v>0</v>
      </c>
      <c r="J331" s="928">
        <f t="shared" si="56"/>
        <v>0</v>
      </c>
      <c r="L331" s="754"/>
      <c r="M331" s="754">
        <f t="shared" si="47"/>
        <v>0</v>
      </c>
      <c r="N331" s="754">
        <f t="shared" si="48"/>
        <v>0</v>
      </c>
      <c r="O331" s="754">
        <f t="shared" si="49"/>
        <v>0</v>
      </c>
      <c r="P331" s="754"/>
      <c r="Q331" s="754"/>
      <c r="R331" s="754"/>
    </row>
    <row r="332" spans="2:18" s="755" customFormat="1" x14ac:dyDescent="0.2">
      <c r="B332" s="958" t="s">
        <v>553</v>
      </c>
      <c r="C332" s="1052"/>
      <c r="D332" s="1006"/>
      <c r="E332" s="1090"/>
      <c r="F332" s="1510"/>
      <c r="G332" s="1510"/>
      <c r="H332" s="1073">
        <f t="shared" si="57"/>
        <v>0</v>
      </c>
      <c r="I332" s="960">
        <f t="shared" si="58"/>
        <v>0</v>
      </c>
      <c r="J332" s="928">
        <f t="shared" si="56"/>
        <v>0</v>
      </c>
      <c r="L332" s="754"/>
      <c r="M332" s="754">
        <f t="shared" si="47"/>
        <v>0</v>
      </c>
      <c r="N332" s="754">
        <f t="shared" si="48"/>
        <v>0</v>
      </c>
      <c r="O332" s="754">
        <f t="shared" si="49"/>
        <v>0</v>
      </c>
      <c r="P332" s="754"/>
      <c r="Q332" s="754"/>
      <c r="R332" s="754"/>
    </row>
    <row r="333" spans="2:18" s="755" customFormat="1" x14ac:dyDescent="0.2">
      <c r="B333" s="958" t="s">
        <v>554</v>
      </c>
      <c r="C333" s="1052"/>
      <c r="D333" s="1006"/>
      <c r="E333" s="1090"/>
      <c r="F333" s="1510"/>
      <c r="G333" s="1510"/>
      <c r="H333" s="1073">
        <f t="shared" si="57"/>
        <v>0</v>
      </c>
      <c r="I333" s="960">
        <f t="shared" si="58"/>
        <v>0</v>
      </c>
      <c r="J333" s="928">
        <f t="shared" si="56"/>
        <v>0</v>
      </c>
      <c r="L333" s="754"/>
      <c r="M333" s="754">
        <f t="shared" si="47"/>
        <v>0</v>
      </c>
      <c r="N333" s="754">
        <f t="shared" si="48"/>
        <v>0</v>
      </c>
      <c r="O333" s="754">
        <f t="shared" si="49"/>
        <v>0</v>
      </c>
      <c r="P333" s="754"/>
      <c r="Q333" s="754"/>
      <c r="R333" s="754"/>
    </row>
    <row r="334" spans="2:18" s="755" customFormat="1" x14ac:dyDescent="0.2">
      <c r="B334" s="958" t="s">
        <v>721</v>
      </c>
      <c r="C334" s="1052"/>
      <c r="D334" s="1006"/>
      <c r="E334" s="1090"/>
      <c r="F334" s="1510"/>
      <c r="G334" s="1510"/>
      <c r="H334" s="1073">
        <f t="shared" si="57"/>
        <v>0</v>
      </c>
      <c r="I334" s="960">
        <f t="shared" si="58"/>
        <v>0</v>
      </c>
      <c r="J334" s="928">
        <f t="shared" si="56"/>
        <v>0</v>
      </c>
      <c r="L334" s="754"/>
      <c r="M334" s="754">
        <f t="shared" si="47"/>
        <v>0</v>
      </c>
      <c r="N334" s="754">
        <f t="shared" si="48"/>
        <v>0</v>
      </c>
      <c r="O334" s="754">
        <f t="shared" si="49"/>
        <v>0</v>
      </c>
      <c r="P334" s="754"/>
      <c r="Q334" s="754"/>
      <c r="R334" s="754"/>
    </row>
    <row r="335" spans="2:18" s="755" customFormat="1" x14ac:dyDescent="0.2">
      <c r="B335" s="958" t="s">
        <v>722</v>
      </c>
      <c r="C335" s="1052"/>
      <c r="D335" s="1006"/>
      <c r="E335" s="1090"/>
      <c r="F335" s="1510"/>
      <c r="G335" s="1510"/>
      <c r="H335" s="1073">
        <f t="shared" si="57"/>
        <v>0</v>
      </c>
      <c r="I335" s="960">
        <f t="shared" si="58"/>
        <v>0</v>
      </c>
      <c r="J335" s="928">
        <f t="shared" si="56"/>
        <v>0</v>
      </c>
      <c r="L335" s="754"/>
      <c r="M335" s="754">
        <f t="shared" si="47"/>
        <v>0</v>
      </c>
      <c r="N335" s="754">
        <f t="shared" si="48"/>
        <v>0</v>
      </c>
      <c r="O335" s="754">
        <f t="shared" si="49"/>
        <v>0</v>
      </c>
      <c r="P335" s="754"/>
      <c r="Q335" s="754"/>
      <c r="R335" s="754"/>
    </row>
    <row r="336" spans="2:18" s="755" customFormat="1" x14ac:dyDescent="0.2">
      <c r="B336" s="1074"/>
      <c r="C336" s="866"/>
      <c r="D336" s="866"/>
      <c r="E336" s="1075"/>
      <c r="F336" s="1076"/>
      <c r="G336" s="1077">
        <f>SUM(O326:O335)</f>
        <v>0</v>
      </c>
      <c r="H336" s="867" t="s">
        <v>283</v>
      </c>
      <c r="I336" s="820">
        <f>SUM(I326:I335)</f>
        <v>0</v>
      </c>
      <c r="J336" s="821">
        <f>SUM(J326:J335)</f>
        <v>0</v>
      </c>
      <c r="L336" s="754"/>
      <c r="M336" s="754"/>
      <c r="N336" s="754"/>
      <c r="O336" s="754"/>
      <c r="P336" s="754"/>
      <c r="Q336" s="754"/>
      <c r="R336" s="754"/>
    </row>
    <row r="337" spans="2:18" s="755" customFormat="1" ht="21" customHeight="1" x14ac:dyDescent="0.2">
      <c r="B337" s="1114"/>
      <c r="C337" s="1115"/>
      <c r="D337" s="1115"/>
      <c r="E337" s="1115"/>
      <c r="F337" s="1115"/>
      <c r="G337" s="1115"/>
      <c r="H337" s="1132" t="s">
        <v>784</v>
      </c>
      <c r="I337" s="1133">
        <f>I321+I336</f>
        <v>0</v>
      </c>
      <c r="J337" s="1129">
        <f>J321+J336</f>
        <v>0</v>
      </c>
      <c r="L337" s="754"/>
      <c r="M337" s="754"/>
      <c r="N337" s="754"/>
      <c r="O337" s="754"/>
      <c r="P337" s="754"/>
      <c r="Q337" s="754"/>
      <c r="R337" s="754"/>
    </row>
    <row r="338" spans="2:18" s="842" customFormat="1" ht="18" customHeight="1" x14ac:dyDescent="0.2">
      <c r="B338" s="1034"/>
      <c r="C338" s="1096"/>
      <c r="D338" s="1096"/>
      <c r="E338" s="1096"/>
      <c r="F338" s="1034"/>
      <c r="G338" s="1034"/>
      <c r="H338" s="1096"/>
      <c r="I338" s="1097"/>
      <c r="J338" s="1097"/>
      <c r="L338" s="840"/>
      <c r="M338" s="754"/>
      <c r="N338" s="840"/>
      <c r="O338" s="840"/>
      <c r="P338" s="840"/>
      <c r="Q338" s="840"/>
      <c r="R338" s="840"/>
    </row>
    <row r="339" spans="2:18" s="682" customFormat="1" ht="21" customHeight="1" x14ac:dyDescent="0.25">
      <c r="B339" s="710" t="s">
        <v>785</v>
      </c>
      <c r="C339" s="1066"/>
      <c r="D339" s="1066"/>
      <c r="E339" s="712"/>
      <c r="F339" s="714"/>
      <c r="G339" s="714"/>
      <c r="H339" s="714"/>
      <c r="I339" s="714"/>
      <c r="J339" s="1067"/>
      <c r="L339" s="685"/>
      <c r="M339" s="754"/>
      <c r="N339" s="685"/>
      <c r="O339" s="685"/>
      <c r="P339" s="685"/>
      <c r="Q339" s="685"/>
      <c r="R339" s="685"/>
    </row>
    <row r="340" spans="2:18" s="736" customFormat="1" x14ac:dyDescent="0.2">
      <c r="B340" s="809"/>
      <c r="C340" s="3030" t="s">
        <v>757</v>
      </c>
      <c r="D340" s="3031"/>
      <c r="E340" s="3032"/>
      <c r="F340" s="1003" t="s">
        <v>280</v>
      </c>
      <c r="G340" s="810" t="s">
        <v>724</v>
      </c>
      <c r="H340" s="1068" t="s">
        <v>442</v>
      </c>
      <c r="I340" s="1069" t="s">
        <v>443</v>
      </c>
      <c r="J340" s="1070" t="s">
        <v>443</v>
      </c>
      <c r="L340" s="734"/>
      <c r="M340" s="754"/>
      <c r="N340" s="734"/>
      <c r="O340" s="734"/>
      <c r="P340" s="734"/>
      <c r="Q340" s="734"/>
      <c r="R340" s="734"/>
    </row>
    <row r="341" spans="2:18" s="747" customFormat="1" x14ac:dyDescent="0.2">
      <c r="B341" s="737"/>
      <c r="C341" s="3128"/>
      <c r="D341" s="3129"/>
      <c r="E341" s="3130"/>
      <c r="F341" s="739" t="s">
        <v>786</v>
      </c>
      <c r="G341" s="1100" t="s">
        <v>1018</v>
      </c>
      <c r="H341" s="1101" t="s">
        <v>448</v>
      </c>
      <c r="I341" s="858" t="s">
        <v>445</v>
      </c>
      <c r="J341" s="859" t="s">
        <v>315</v>
      </c>
      <c r="L341" s="745"/>
      <c r="M341" s="754"/>
      <c r="N341" s="745"/>
      <c r="O341" s="745"/>
      <c r="P341" s="745"/>
      <c r="Q341" s="745"/>
      <c r="R341" s="745"/>
    </row>
    <row r="342" spans="2:18" s="755" customFormat="1" x14ac:dyDescent="0.2">
      <c r="B342" s="958" t="s">
        <v>547</v>
      </c>
      <c r="C342" s="3008"/>
      <c r="D342" s="3056"/>
      <c r="E342" s="3009"/>
      <c r="F342" s="1090"/>
      <c r="G342" s="1510"/>
      <c r="H342" s="1073">
        <v>5</v>
      </c>
      <c r="I342" s="960">
        <f>IF(F342=0,0,IF(F342&gt;=1,5))</f>
        <v>0</v>
      </c>
      <c r="J342" s="928">
        <f>I342/15</f>
        <v>0</v>
      </c>
      <c r="L342" s="754"/>
      <c r="M342" s="754">
        <f>IF(G342&lt;&gt;"",IF(AND(G342&gt;=$M$13,G342&lt;=$N$13),1,0),0)</f>
        <v>0</v>
      </c>
      <c r="N342" s="754"/>
      <c r="O342" s="754"/>
      <c r="P342" s="754"/>
      <c r="Q342" s="754"/>
      <c r="R342" s="754"/>
    </row>
    <row r="343" spans="2:18" s="755" customFormat="1" x14ac:dyDescent="0.2">
      <c r="B343" s="958" t="s">
        <v>548</v>
      </c>
      <c r="C343" s="3008"/>
      <c r="D343" s="3056"/>
      <c r="E343" s="3009"/>
      <c r="F343" s="1090"/>
      <c r="G343" s="1510"/>
      <c r="H343" s="1073">
        <v>5</v>
      </c>
      <c r="I343" s="960">
        <f>IF(F343=0,0,IF(F343&gt;=1,5))</f>
        <v>0</v>
      </c>
      <c r="J343" s="928">
        <f>I343/15</f>
        <v>0</v>
      </c>
      <c r="L343" s="754"/>
      <c r="M343" s="754">
        <f>IF(G343&lt;&gt;"",IF(AND(G343&gt;=$M$13,G343&lt;=$N$13),1,0),0)</f>
        <v>0</v>
      </c>
      <c r="N343" s="754"/>
      <c r="O343" s="754"/>
      <c r="P343" s="754"/>
      <c r="Q343" s="754"/>
      <c r="R343" s="754"/>
    </row>
    <row r="344" spans="2:18" s="755" customFormat="1" x14ac:dyDescent="0.2">
      <c r="B344" s="1074"/>
      <c r="C344" s="866"/>
      <c r="D344" s="866"/>
      <c r="E344" s="1075"/>
      <c r="F344" s="1076"/>
      <c r="G344" s="1077">
        <f>SUM(M342:M343)</f>
        <v>0</v>
      </c>
      <c r="H344" s="867" t="s">
        <v>283</v>
      </c>
      <c r="I344" s="820">
        <f>SUM(I342:I343)</f>
        <v>0</v>
      </c>
      <c r="J344" s="821">
        <f>SUM(J342:J343)</f>
        <v>0</v>
      </c>
      <c r="L344" s="754"/>
      <c r="M344" s="754"/>
      <c r="N344" s="754"/>
      <c r="O344" s="754"/>
      <c r="P344" s="754"/>
      <c r="Q344" s="754"/>
      <c r="R344" s="754"/>
    </row>
    <row r="345" spans="2:18" s="842" customFormat="1" ht="12" customHeight="1" x14ac:dyDescent="0.2">
      <c r="B345" s="836"/>
      <c r="C345" s="837"/>
      <c r="D345" s="837"/>
      <c r="E345" s="837"/>
      <c r="F345" s="836"/>
      <c r="G345" s="836"/>
      <c r="H345" s="837"/>
      <c r="I345" s="967"/>
      <c r="J345" s="967"/>
      <c r="L345" s="840"/>
      <c r="M345" s="754"/>
      <c r="N345" s="840"/>
      <c r="O345" s="840"/>
      <c r="P345" s="840"/>
      <c r="Q345" s="840"/>
      <c r="R345" s="840"/>
    </row>
    <row r="346" spans="2:18" s="842" customFormat="1" ht="5.25" customHeight="1" x14ac:dyDescent="0.2">
      <c r="B346" s="968"/>
      <c r="C346" s="1092"/>
      <c r="D346" s="1092"/>
      <c r="E346" s="1092"/>
      <c r="F346" s="968"/>
      <c r="G346" s="968"/>
      <c r="H346" s="1092"/>
      <c r="I346" s="981"/>
      <c r="J346" s="981"/>
      <c r="L346" s="840"/>
      <c r="M346" s="754"/>
      <c r="N346" s="840"/>
      <c r="O346" s="840"/>
      <c r="P346" s="840"/>
      <c r="Q346" s="840"/>
      <c r="R346" s="840"/>
    </row>
    <row r="347" spans="2:18" s="682" customFormat="1" ht="21" customHeight="1" x14ac:dyDescent="0.25">
      <c r="B347" s="710" t="s">
        <v>787</v>
      </c>
      <c r="C347" s="1066"/>
      <c r="D347" s="1066"/>
      <c r="E347" s="712"/>
      <c r="F347" s="714"/>
      <c r="G347" s="714"/>
      <c r="H347" s="714"/>
      <c r="I347" s="714"/>
      <c r="J347" s="1067"/>
      <c r="L347" s="685"/>
      <c r="M347" s="754"/>
      <c r="N347" s="685"/>
      <c r="O347" s="685"/>
      <c r="P347" s="685"/>
      <c r="Q347" s="685"/>
      <c r="R347" s="685"/>
    </row>
    <row r="348" spans="2:18" s="736" customFormat="1" x14ac:dyDescent="0.2">
      <c r="B348" s="809"/>
      <c r="C348" s="3030" t="s">
        <v>788</v>
      </c>
      <c r="D348" s="3031"/>
      <c r="E348" s="3032"/>
      <c r="F348" s="1003" t="s">
        <v>563</v>
      </c>
      <c r="G348" s="810" t="s">
        <v>724</v>
      </c>
      <c r="H348" s="1068" t="s">
        <v>442</v>
      </c>
      <c r="I348" s="1069" t="s">
        <v>443</v>
      </c>
      <c r="J348" s="1070" t="s">
        <v>443</v>
      </c>
      <c r="L348" s="734"/>
      <c r="M348" s="754"/>
      <c r="N348" s="734"/>
      <c r="O348" s="734"/>
      <c r="P348" s="734"/>
      <c r="Q348" s="734"/>
      <c r="R348" s="734"/>
    </row>
    <row r="349" spans="2:18" s="747" customFormat="1" x14ac:dyDescent="0.2">
      <c r="B349" s="737"/>
      <c r="C349" s="3128"/>
      <c r="D349" s="3129"/>
      <c r="E349" s="3130"/>
      <c r="F349" s="739" t="s">
        <v>789</v>
      </c>
      <c r="G349" s="1100" t="s">
        <v>1018</v>
      </c>
      <c r="H349" s="1101" t="s">
        <v>448</v>
      </c>
      <c r="I349" s="858" t="s">
        <v>445</v>
      </c>
      <c r="J349" s="859" t="s">
        <v>315</v>
      </c>
      <c r="L349" s="745"/>
      <c r="M349" s="754"/>
      <c r="N349" s="745"/>
      <c r="O349" s="745"/>
      <c r="P349" s="745"/>
      <c r="Q349" s="745"/>
      <c r="R349" s="745"/>
    </row>
    <row r="350" spans="2:18" s="755" customFormat="1" x14ac:dyDescent="0.2">
      <c r="B350" s="958" t="s">
        <v>547</v>
      </c>
      <c r="C350" s="3008"/>
      <c r="D350" s="3056"/>
      <c r="E350" s="3009"/>
      <c r="F350" s="1090"/>
      <c r="G350" s="1510"/>
      <c r="H350" s="1073">
        <v>1</v>
      </c>
      <c r="I350" s="960">
        <f>F350*H350</f>
        <v>0</v>
      </c>
      <c r="J350" s="928">
        <f>I350/15</f>
        <v>0</v>
      </c>
      <c r="L350" s="754"/>
      <c r="M350" s="754">
        <f>IF(G350&lt;&gt;"",IF(AND(G350&gt;=$M$13,G350&lt;=$N$13),1,0),0)</f>
        <v>0</v>
      </c>
      <c r="N350" s="754"/>
      <c r="O350" s="754"/>
      <c r="P350" s="754"/>
      <c r="Q350" s="754"/>
      <c r="R350" s="754"/>
    </row>
    <row r="351" spans="2:18" s="755" customFormat="1" x14ac:dyDescent="0.2">
      <c r="B351" s="958" t="s">
        <v>548</v>
      </c>
      <c r="C351" s="3008"/>
      <c r="D351" s="3056"/>
      <c r="E351" s="3009"/>
      <c r="F351" s="1090"/>
      <c r="G351" s="1510"/>
      <c r="H351" s="1073">
        <v>1</v>
      </c>
      <c r="I351" s="960">
        <f>F351*H351</f>
        <v>0</v>
      </c>
      <c r="J351" s="928">
        <f>I351/15</f>
        <v>0</v>
      </c>
      <c r="L351" s="754"/>
      <c r="M351" s="754">
        <f>IF(G351&lt;&gt;"",IF(AND(G351&gt;=$M$13,G351&lt;=$N$13),1,0),0)</f>
        <v>0</v>
      </c>
      <c r="N351" s="754"/>
      <c r="O351" s="754"/>
      <c r="P351" s="754"/>
      <c r="Q351" s="754"/>
      <c r="R351" s="754"/>
    </row>
    <row r="352" spans="2:18" s="755" customFormat="1" x14ac:dyDescent="0.2">
      <c r="B352" s="958" t="s">
        <v>549</v>
      </c>
      <c r="C352" s="3008"/>
      <c r="D352" s="3056"/>
      <c r="E352" s="3009"/>
      <c r="F352" s="1090"/>
      <c r="G352" s="1510"/>
      <c r="H352" s="1073">
        <v>1</v>
      </c>
      <c r="I352" s="960">
        <f>F352*H352</f>
        <v>0</v>
      </c>
      <c r="J352" s="928">
        <f>I352/15</f>
        <v>0</v>
      </c>
      <c r="L352" s="754"/>
      <c r="M352" s="754">
        <f>IF(G352&lt;&gt;"",IF(AND(G352&gt;=$M$13,G352&lt;=$N$13),1,0),0)</f>
        <v>0</v>
      </c>
      <c r="N352" s="754"/>
      <c r="O352" s="754"/>
      <c r="P352" s="754"/>
      <c r="Q352" s="754"/>
      <c r="R352" s="754"/>
    </row>
    <row r="353" spans="2:18" s="755" customFormat="1" x14ac:dyDescent="0.2">
      <c r="B353" s="958" t="s">
        <v>550</v>
      </c>
      <c r="C353" s="3008"/>
      <c r="D353" s="3056"/>
      <c r="E353" s="3009"/>
      <c r="F353" s="1090"/>
      <c r="G353" s="1510"/>
      <c r="H353" s="1073">
        <v>1</v>
      </c>
      <c r="I353" s="960">
        <f>F353*H353</f>
        <v>0</v>
      </c>
      <c r="J353" s="928">
        <f>I353/15</f>
        <v>0</v>
      </c>
      <c r="L353" s="754"/>
      <c r="M353" s="754">
        <f>IF(G353&lt;&gt;"",IF(AND(G353&gt;=$M$13,G353&lt;=$N$13),1,0),0)</f>
        <v>0</v>
      </c>
      <c r="N353" s="754"/>
      <c r="O353" s="754"/>
      <c r="P353" s="754"/>
      <c r="Q353" s="754"/>
      <c r="R353" s="754"/>
    </row>
    <row r="354" spans="2:18" s="755" customFormat="1" x14ac:dyDescent="0.2">
      <c r="B354" s="958" t="s">
        <v>551</v>
      </c>
      <c r="C354" s="3008"/>
      <c r="D354" s="3056"/>
      <c r="E354" s="3009"/>
      <c r="F354" s="1090"/>
      <c r="G354" s="1510"/>
      <c r="H354" s="1073">
        <v>1</v>
      </c>
      <c r="I354" s="960">
        <f>F354*H354</f>
        <v>0</v>
      </c>
      <c r="J354" s="928">
        <f>I354/15</f>
        <v>0</v>
      </c>
      <c r="L354" s="754"/>
      <c r="M354" s="754">
        <f>IF(G354&lt;&gt;"",IF(AND(G354&gt;=$M$13,G354&lt;=$N$13),1,0),0)</f>
        <v>0</v>
      </c>
      <c r="N354" s="754"/>
      <c r="O354" s="754"/>
      <c r="P354" s="754"/>
      <c r="Q354" s="754"/>
      <c r="R354" s="754"/>
    </row>
    <row r="355" spans="2:18" s="755" customFormat="1" x14ac:dyDescent="0.2">
      <c r="B355" s="1074"/>
      <c r="C355" s="866"/>
      <c r="D355" s="866"/>
      <c r="E355" s="1075"/>
      <c r="F355" s="1076"/>
      <c r="G355" s="1077">
        <f>SUM(M350:M354)</f>
        <v>0</v>
      </c>
      <c r="H355" s="867" t="s">
        <v>283</v>
      </c>
      <c r="I355" s="820">
        <f>SUM(I350:I354)</f>
        <v>0</v>
      </c>
      <c r="J355" s="821">
        <f>SUM(J350:J354)</f>
        <v>0</v>
      </c>
      <c r="L355" s="754"/>
      <c r="M355" s="754"/>
      <c r="N355" s="754"/>
      <c r="O355" s="754"/>
      <c r="P355" s="754"/>
      <c r="Q355" s="754"/>
      <c r="R355" s="754"/>
    </row>
    <row r="356" spans="2:18" s="842" customFormat="1" ht="12" customHeight="1" x14ac:dyDescent="0.2">
      <c r="B356" s="836"/>
      <c r="C356" s="837"/>
      <c r="D356" s="837"/>
      <c r="E356" s="837"/>
      <c r="F356" s="836"/>
      <c r="G356" s="836"/>
      <c r="H356" s="837"/>
      <c r="I356" s="967"/>
      <c r="J356" s="967"/>
      <c r="L356" s="840"/>
      <c r="M356" s="754"/>
      <c r="N356" s="840"/>
      <c r="O356" s="840"/>
      <c r="P356" s="840"/>
      <c r="Q356" s="840"/>
      <c r="R356" s="840"/>
    </row>
    <row r="357" spans="2:18" s="842" customFormat="1" ht="5.25" customHeight="1" x14ac:dyDescent="0.2">
      <c r="B357" s="945"/>
      <c r="C357" s="1093"/>
      <c r="D357" s="1093"/>
      <c r="E357" s="1093"/>
      <c r="F357" s="945"/>
      <c r="G357" s="945"/>
      <c r="H357" s="1093"/>
      <c r="I357" s="980"/>
      <c r="J357" s="980"/>
      <c r="L357" s="840"/>
      <c r="M357" s="754"/>
      <c r="N357" s="840"/>
      <c r="O357" s="840"/>
      <c r="P357" s="840"/>
      <c r="Q357" s="840"/>
      <c r="R357" s="840"/>
    </row>
    <row r="358" spans="2:18" s="682" customFormat="1" ht="16.5" x14ac:dyDescent="0.25">
      <c r="B358" s="3134" t="s">
        <v>1002</v>
      </c>
      <c r="C358" s="3135"/>
      <c r="D358" s="3135"/>
      <c r="E358" s="3135"/>
      <c r="F358" s="3135"/>
      <c r="G358" s="3135"/>
      <c r="H358" s="3135"/>
      <c r="I358" s="3135"/>
      <c r="J358" s="3136"/>
      <c r="L358" s="685"/>
      <c r="M358" s="754"/>
      <c r="N358" s="685"/>
      <c r="O358" s="685"/>
      <c r="P358" s="685"/>
      <c r="Q358" s="685"/>
      <c r="R358" s="685"/>
    </row>
    <row r="359" spans="2:18" s="736" customFormat="1" x14ac:dyDescent="0.2">
      <c r="B359" s="809"/>
      <c r="C359" s="3030" t="s">
        <v>790</v>
      </c>
      <c r="D359" s="3031"/>
      <c r="E359" s="3032"/>
      <c r="F359" s="1003" t="s">
        <v>563</v>
      </c>
      <c r="G359" s="810" t="s">
        <v>724</v>
      </c>
      <c r="H359" s="1068" t="s">
        <v>442</v>
      </c>
      <c r="I359" s="1069" t="s">
        <v>443</v>
      </c>
      <c r="J359" s="1070" t="s">
        <v>443</v>
      </c>
      <c r="L359" s="734"/>
      <c r="M359" s="754"/>
      <c r="N359" s="734"/>
      <c r="O359" s="734"/>
      <c r="P359" s="734"/>
      <c r="Q359" s="734"/>
      <c r="R359" s="734"/>
    </row>
    <row r="360" spans="2:18" s="747" customFormat="1" x14ac:dyDescent="0.2">
      <c r="B360" s="737"/>
      <c r="C360" s="3128"/>
      <c r="D360" s="3129"/>
      <c r="E360" s="3130"/>
      <c r="F360" s="739" t="s">
        <v>789</v>
      </c>
      <c r="G360" s="1100" t="s">
        <v>1018</v>
      </c>
      <c r="H360" s="1101" t="s">
        <v>448</v>
      </c>
      <c r="I360" s="858" t="s">
        <v>445</v>
      </c>
      <c r="J360" s="859" t="s">
        <v>315</v>
      </c>
      <c r="L360" s="745"/>
      <c r="M360" s="754"/>
      <c r="N360" s="745"/>
      <c r="O360" s="745"/>
      <c r="P360" s="745"/>
      <c r="Q360" s="745"/>
      <c r="R360" s="745"/>
    </row>
    <row r="361" spans="2:18" s="755" customFormat="1" x14ac:dyDescent="0.2">
      <c r="B361" s="958" t="s">
        <v>547</v>
      </c>
      <c r="C361" s="3008"/>
      <c r="D361" s="3056"/>
      <c r="E361" s="3009"/>
      <c r="F361" s="1090"/>
      <c r="G361" s="1510"/>
      <c r="H361" s="1073">
        <v>1</v>
      </c>
      <c r="I361" s="960">
        <f>F361*H361</f>
        <v>0</v>
      </c>
      <c r="J361" s="928">
        <f>I361/15</f>
        <v>0</v>
      </c>
      <c r="L361" s="754"/>
      <c r="M361" s="754">
        <f>IF(G361&lt;&gt;"",IF(AND(G361&gt;=$M$13,G361&lt;=$N$13),1,0),0)</f>
        <v>0</v>
      </c>
      <c r="N361" s="754"/>
      <c r="O361" s="754"/>
      <c r="P361" s="754"/>
      <c r="Q361" s="754"/>
      <c r="R361" s="754"/>
    </row>
    <row r="362" spans="2:18" s="755" customFormat="1" x14ac:dyDescent="0.2">
      <c r="B362" s="958" t="s">
        <v>548</v>
      </c>
      <c r="C362" s="3008"/>
      <c r="D362" s="3056"/>
      <c r="E362" s="3009"/>
      <c r="F362" s="1090"/>
      <c r="G362" s="1510"/>
      <c r="H362" s="1073">
        <v>1</v>
      </c>
      <c r="I362" s="960">
        <f>F362*H362</f>
        <v>0</v>
      </c>
      <c r="J362" s="928">
        <f>I362/15</f>
        <v>0</v>
      </c>
      <c r="L362" s="754"/>
      <c r="M362" s="754">
        <f>IF(G362&lt;&gt;"",IF(AND(G362&gt;=$M$13,G362&lt;=$N$13),1,0),0)</f>
        <v>0</v>
      </c>
      <c r="N362" s="754"/>
      <c r="O362" s="754"/>
      <c r="P362" s="754"/>
      <c r="Q362" s="754"/>
      <c r="R362" s="754"/>
    </row>
    <row r="363" spans="2:18" s="755" customFormat="1" x14ac:dyDescent="0.2">
      <c r="B363" s="958" t="s">
        <v>549</v>
      </c>
      <c r="C363" s="3008"/>
      <c r="D363" s="3056"/>
      <c r="E363" s="3009"/>
      <c r="F363" s="1090"/>
      <c r="G363" s="1510"/>
      <c r="H363" s="1073">
        <v>1</v>
      </c>
      <c r="I363" s="960">
        <f>F363*H363</f>
        <v>0</v>
      </c>
      <c r="J363" s="928">
        <f>I363/15</f>
        <v>0</v>
      </c>
      <c r="L363" s="754"/>
      <c r="M363" s="754">
        <f>IF(G363&lt;&gt;"",IF(AND(G363&gt;=$M$13,G363&lt;=$N$13),1,0),0)</f>
        <v>0</v>
      </c>
      <c r="N363" s="754"/>
      <c r="O363" s="754"/>
      <c r="P363" s="754"/>
      <c r="Q363" s="754"/>
      <c r="R363" s="754"/>
    </row>
    <row r="364" spans="2:18" s="755" customFormat="1" x14ac:dyDescent="0.2">
      <c r="B364" s="958" t="s">
        <v>550</v>
      </c>
      <c r="C364" s="3008"/>
      <c r="D364" s="3056"/>
      <c r="E364" s="3009"/>
      <c r="F364" s="1090"/>
      <c r="G364" s="1510"/>
      <c r="H364" s="1073">
        <v>1</v>
      </c>
      <c r="I364" s="960">
        <f>F364*H364</f>
        <v>0</v>
      </c>
      <c r="J364" s="928">
        <f>I364/15</f>
        <v>0</v>
      </c>
      <c r="L364" s="754"/>
      <c r="M364" s="754">
        <f>IF(G364&lt;&gt;"",IF(AND(G364&gt;=$M$13,G364&lt;=$N$13),1,0),0)</f>
        <v>0</v>
      </c>
      <c r="N364" s="754"/>
      <c r="O364" s="754"/>
      <c r="P364" s="754"/>
      <c r="Q364" s="754"/>
      <c r="R364" s="754"/>
    </row>
    <row r="365" spans="2:18" s="755" customFormat="1" x14ac:dyDescent="0.2">
      <c r="B365" s="958" t="s">
        <v>551</v>
      </c>
      <c r="C365" s="3008"/>
      <c r="D365" s="3056"/>
      <c r="E365" s="3009"/>
      <c r="F365" s="1090"/>
      <c r="G365" s="1510"/>
      <c r="H365" s="1073">
        <v>1</v>
      </c>
      <c r="I365" s="960">
        <f>F365*H365</f>
        <v>0</v>
      </c>
      <c r="J365" s="928">
        <f>I365/15</f>
        <v>0</v>
      </c>
      <c r="L365" s="754"/>
      <c r="M365" s="754">
        <f>IF(G365&lt;&gt;"",IF(AND(G365&gt;=$M$13,G365&lt;=$N$13),1,0),0)</f>
        <v>0</v>
      </c>
      <c r="N365" s="754"/>
      <c r="O365" s="754"/>
      <c r="P365" s="754"/>
      <c r="Q365" s="754"/>
      <c r="R365" s="754"/>
    </row>
    <row r="366" spans="2:18" s="755" customFormat="1" x14ac:dyDescent="0.2">
      <c r="B366" s="1074"/>
      <c r="C366" s="866"/>
      <c r="D366" s="866"/>
      <c r="E366" s="1075"/>
      <c r="F366" s="1076"/>
      <c r="G366" s="1077">
        <f>SUM(M361:M365)</f>
        <v>0</v>
      </c>
      <c r="H366" s="867" t="s">
        <v>283</v>
      </c>
      <c r="I366" s="820">
        <f>SUM(I361:I365)</f>
        <v>0</v>
      </c>
      <c r="J366" s="821">
        <f>SUM(J361:J365)</f>
        <v>0</v>
      </c>
      <c r="L366" s="754"/>
      <c r="M366" s="754"/>
      <c r="N366" s="754"/>
      <c r="O366" s="754"/>
      <c r="P366" s="754"/>
      <c r="Q366" s="754"/>
      <c r="R366" s="754"/>
    </row>
    <row r="367" spans="2:18" s="842" customFormat="1" ht="12" customHeight="1" x14ac:dyDescent="0.2">
      <c r="B367" s="1094"/>
      <c r="C367" s="966"/>
      <c r="D367" s="966"/>
      <c r="E367" s="966"/>
      <c r="F367" s="1094"/>
      <c r="G367" s="1094"/>
      <c r="H367" s="966"/>
      <c r="I367" s="1095"/>
      <c r="J367" s="1095"/>
      <c r="L367" s="840"/>
      <c r="M367" s="754"/>
      <c r="N367" s="840"/>
      <c r="O367" s="840"/>
      <c r="P367" s="840"/>
      <c r="Q367" s="840"/>
      <c r="R367" s="840"/>
    </row>
    <row r="368" spans="2:18" s="842" customFormat="1" ht="5.25" customHeight="1" x14ac:dyDescent="0.2">
      <c r="B368" s="1034"/>
      <c r="C368" s="1096"/>
      <c r="D368" s="1096"/>
      <c r="E368" s="1096"/>
      <c r="F368" s="1034"/>
      <c r="G368" s="1034"/>
      <c r="H368" s="1096"/>
      <c r="I368" s="1097"/>
      <c r="J368" s="1097"/>
      <c r="L368" s="840"/>
      <c r="M368" s="754"/>
      <c r="N368" s="840"/>
      <c r="O368" s="840"/>
      <c r="P368" s="840"/>
      <c r="Q368" s="840"/>
      <c r="R368" s="840"/>
    </row>
    <row r="369" spans="2:18" s="682" customFormat="1" ht="21" customHeight="1" x14ac:dyDescent="0.2">
      <c r="B369" s="3131" t="s">
        <v>791</v>
      </c>
      <c r="C369" s="3132"/>
      <c r="D369" s="3132"/>
      <c r="E369" s="3132"/>
      <c r="F369" s="3132"/>
      <c r="G369" s="3132"/>
      <c r="H369" s="3132"/>
      <c r="I369" s="3132"/>
      <c r="J369" s="3133"/>
      <c r="L369" s="685"/>
      <c r="M369" s="754"/>
      <c r="N369" s="685"/>
      <c r="O369" s="685"/>
      <c r="P369" s="685"/>
      <c r="Q369" s="685"/>
      <c r="R369" s="685"/>
    </row>
    <row r="370" spans="2:18" s="736" customFormat="1" x14ac:dyDescent="0.2">
      <c r="B370" s="809"/>
      <c r="C370" s="3030" t="s">
        <v>792</v>
      </c>
      <c r="D370" s="3031"/>
      <c r="E370" s="3032"/>
      <c r="F370" s="1003" t="s">
        <v>563</v>
      </c>
      <c r="G370" s="810" t="s">
        <v>724</v>
      </c>
      <c r="H370" s="1068" t="s">
        <v>442</v>
      </c>
      <c r="I370" s="1069" t="s">
        <v>443</v>
      </c>
      <c r="J370" s="1070" t="s">
        <v>443</v>
      </c>
      <c r="L370" s="734"/>
      <c r="M370" s="754"/>
      <c r="N370" s="734"/>
      <c r="O370" s="734"/>
      <c r="P370" s="734"/>
      <c r="Q370" s="734"/>
      <c r="R370" s="734"/>
    </row>
    <row r="371" spans="2:18" s="747" customFormat="1" x14ac:dyDescent="0.2">
      <c r="B371" s="737"/>
      <c r="C371" s="3128"/>
      <c r="D371" s="3129"/>
      <c r="E371" s="3130"/>
      <c r="F371" s="739" t="s">
        <v>789</v>
      </c>
      <c r="G371" s="1100" t="s">
        <v>1018</v>
      </c>
      <c r="H371" s="1101" t="s">
        <v>448</v>
      </c>
      <c r="I371" s="858" t="s">
        <v>445</v>
      </c>
      <c r="J371" s="859" t="s">
        <v>315</v>
      </c>
      <c r="L371" s="745"/>
      <c r="M371" s="754"/>
      <c r="N371" s="745"/>
      <c r="O371" s="745"/>
      <c r="P371" s="745"/>
      <c r="Q371" s="745"/>
      <c r="R371" s="745"/>
    </row>
    <row r="372" spans="2:18" s="1134" customFormat="1" x14ac:dyDescent="0.2">
      <c r="B372" s="958" t="s">
        <v>547</v>
      </c>
      <c r="C372" s="3008"/>
      <c r="D372" s="3056"/>
      <c r="E372" s="3009"/>
      <c r="F372" s="1090"/>
      <c r="G372" s="1510"/>
      <c r="H372" s="1073">
        <v>1</v>
      </c>
      <c r="I372" s="960">
        <f>F372*H372</f>
        <v>0</v>
      </c>
      <c r="J372" s="928">
        <f>I372/15</f>
        <v>0</v>
      </c>
      <c r="L372" s="1135"/>
      <c r="M372" s="754">
        <f>IF(G372&lt;&gt;"",IF(AND(G372&gt;=$M$13,G372&lt;=$N$13),1,0),0)</f>
        <v>0</v>
      </c>
      <c r="N372" s="1135"/>
      <c r="O372" s="1135"/>
      <c r="P372" s="1135"/>
      <c r="Q372" s="1135"/>
      <c r="R372" s="1135"/>
    </row>
    <row r="373" spans="2:18" s="1134" customFormat="1" x14ac:dyDescent="0.2">
      <c r="B373" s="958" t="s">
        <v>548</v>
      </c>
      <c r="C373" s="3008"/>
      <c r="D373" s="3056"/>
      <c r="E373" s="3009"/>
      <c r="F373" s="1090"/>
      <c r="G373" s="1510"/>
      <c r="H373" s="1073">
        <v>1</v>
      </c>
      <c r="I373" s="960">
        <f>F373*H373</f>
        <v>0</v>
      </c>
      <c r="J373" s="928">
        <f>I373/15</f>
        <v>0</v>
      </c>
      <c r="L373" s="1135"/>
      <c r="M373" s="754">
        <f>IF(G373&lt;&gt;"",IF(AND(G373&gt;=$M$13,G373&lt;=$N$13),1,0),0)</f>
        <v>0</v>
      </c>
      <c r="N373" s="1135"/>
      <c r="O373" s="1135"/>
      <c r="P373" s="1135"/>
      <c r="Q373" s="1135"/>
      <c r="R373" s="1135"/>
    </row>
    <row r="374" spans="2:18" s="1134" customFormat="1" x14ac:dyDescent="0.2">
      <c r="B374" s="958" t="s">
        <v>549</v>
      </c>
      <c r="C374" s="3008"/>
      <c r="D374" s="3056"/>
      <c r="E374" s="3009"/>
      <c r="F374" s="1090"/>
      <c r="G374" s="1510"/>
      <c r="H374" s="1073">
        <v>1</v>
      </c>
      <c r="I374" s="960">
        <f>F374*H374</f>
        <v>0</v>
      </c>
      <c r="J374" s="928">
        <f>I374/15</f>
        <v>0</v>
      </c>
      <c r="L374" s="1135"/>
      <c r="M374" s="754">
        <f>IF(G374&lt;&gt;"",IF(AND(G374&gt;=$M$13,G374&lt;=$N$13),1,0),0)</f>
        <v>0</v>
      </c>
      <c r="N374" s="1135"/>
      <c r="O374" s="1135"/>
      <c r="P374" s="1135"/>
      <c r="Q374" s="1135"/>
      <c r="R374" s="1135"/>
    </row>
    <row r="375" spans="2:18" s="1134" customFormat="1" x14ac:dyDescent="0.2">
      <c r="B375" s="958" t="s">
        <v>550</v>
      </c>
      <c r="C375" s="3008"/>
      <c r="D375" s="3056"/>
      <c r="E375" s="3009"/>
      <c r="F375" s="1090"/>
      <c r="G375" s="1510"/>
      <c r="H375" s="1073">
        <v>1</v>
      </c>
      <c r="I375" s="960">
        <f>F375*H375</f>
        <v>0</v>
      </c>
      <c r="J375" s="928">
        <f>I375/15</f>
        <v>0</v>
      </c>
      <c r="L375" s="1135"/>
      <c r="M375" s="754">
        <f>IF(G375&lt;&gt;"",IF(AND(G375&gt;=$M$13,G375&lt;=$N$13),1,0),0)</f>
        <v>0</v>
      </c>
      <c r="N375" s="1135"/>
      <c r="O375" s="1135"/>
      <c r="P375" s="1135"/>
      <c r="Q375" s="1135"/>
      <c r="R375" s="1135"/>
    </row>
    <row r="376" spans="2:18" s="1134" customFormat="1" x14ac:dyDescent="0.2">
      <c r="B376" s="958" t="s">
        <v>551</v>
      </c>
      <c r="C376" s="3008"/>
      <c r="D376" s="3056"/>
      <c r="E376" s="3009"/>
      <c r="F376" s="1090"/>
      <c r="G376" s="1510"/>
      <c r="H376" s="1073">
        <v>1</v>
      </c>
      <c r="I376" s="960">
        <f>F376*H376</f>
        <v>0</v>
      </c>
      <c r="J376" s="928">
        <f>I376/15</f>
        <v>0</v>
      </c>
      <c r="L376" s="1135"/>
      <c r="M376" s="754">
        <f>IF(G376&lt;&gt;"",IF(AND(G376&gt;=$M$13,G376&lt;=$N$13),1,0),0)</f>
        <v>0</v>
      </c>
      <c r="N376" s="1135"/>
      <c r="O376" s="1135"/>
      <c r="P376" s="1135"/>
      <c r="Q376" s="1135"/>
      <c r="R376" s="1135"/>
    </row>
    <row r="377" spans="2:18" s="1134" customFormat="1" x14ac:dyDescent="0.2">
      <c r="B377" s="1074"/>
      <c r="C377" s="866"/>
      <c r="D377" s="866"/>
      <c r="E377" s="1075"/>
      <c r="F377" s="1076"/>
      <c r="G377" s="1077">
        <f>SUM(M372:M376)</f>
        <v>0</v>
      </c>
      <c r="H377" s="867" t="s">
        <v>283</v>
      </c>
      <c r="I377" s="820">
        <f>SUM(I372:I376)</f>
        <v>0</v>
      </c>
      <c r="J377" s="821">
        <f>SUM(J372:J376)</f>
        <v>0</v>
      </c>
      <c r="L377" s="1135"/>
      <c r="M377" s="754"/>
      <c r="N377" s="1135"/>
      <c r="O377" s="1135"/>
      <c r="P377" s="1135"/>
      <c r="Q377" s="1135"/>
      <c r="R377" s="1135"/>
    </row>
    <row r="378" spans="2:18" s="842" customFormat="1" ht="15" x14ac:dyDescent="0.2">
      <c r="B378" s="968"/>
      <c r="C378" s="1092"/>
      <c r="D378" s="1092"/>
      <c r="E378" s="1092"/>
      <c r="F378" s="968"/>
      <c r="G378" s="968"/>
      <c r="H378" s="1092"/>
      <c r="I378" s="981"/>
      <c r="J378" s="981"/>
      <c r="L378" s="840"/>
      <c r="M378" s="754"/>
      <c r="N378" s="840"/>
      <c r="O378" s="840"/>
      <c r="P378" s="840"/>
      <c r="Q378" s="840"/>
      <c r="R378" s="840"/>
    </row>
    <row r="379" spans="2:18" s="842" customFormat="1" ht="15" x14ac:dyDescent="0.2">
      <c r="B379" s="968"/>
      <c r="C379" s="1092"/>
      <c r="D379" s="1092"/>
      <c r="E379" s="1092"/>
      <c r="F379" s="968"/>
      <c r="G379" s="968"/>
      <c r="H379" s="1092"/>
      <c r="I379" s="981"/>
      <c r="J379" s="981"/>
      <c r="L379" s="840"/>
      <c r="M379" s="754"/>
      <c r="N379" s="840"/>
      <c r="O379" s="840"/>
      <c r="P379" s="840"/>
      <c r="Q379" s="840"/>
      <c r="R379" s="840"/>
    </row>
    <row r="380" spans="2:18" s="682" customFormat="1" ht="21" customHeight="1" x14ac:dyDescent="0.25">
      <c r="B380" s="710" t="s">
        <v>793</v>
      </c>
      <c r="C380" s="1421"/>
      <c r="D380" s="1066"/>
      <c r="E380" s="712"/>
      <c r="F380" s="714"/>
      <c r="G380" s="714"/>
      <c r="H380" s="714"/>
      <c r="I380" s="714"/>
      <c r="J380" s="1067"/>
      <c r="L380" s="685"/>
      <c r="M380" s="754"/>
      <c r="N380" s="685"/>
      <c r="O380" s="685"/>
      <c r="P380" s="685"/>
      <c r="Q380" s="685"/>
      <c r="R380" s="685"/>
    </row>
    <row r="381" spans="2:18" s="682" customFormat="1" ht="21" customHeight="1" x14ac:dyDescent="0.25">
      <c r="B381" s="1136" t="s">
        <v>794</v>
      </c>
      <c r="C381" s="1138"/>
      <c r="D381" s="1137"/>
      <c r="E381" s="1138"/>
      <c r="F381" s="1139"/>
      <c r="G381" s="1139"/>
      <c r="H381" s="1139"/>
      <c r="I381" s="1140"/>
      <c r="J381" s="1141"/>
      <c r="L381" s="685"/>
      <c r="M381" s="754"/>
      <c r="N381" s="685"/>
      <c r="O381" s="685"/>
      <c r="P381" s="685"/>
      <c r="Q381" s="685"/>
      <c r="R381" s="685"/>
    </row>
    <row r="382" spans="2:18" s="736" customFormat="1" x14ac:dyDescent="0.2">
      <c r="B382" s="809"/>
      <c r="C382" s="1414" t="s">
        <v>491</v>
      </c>
      <c r="D382" s="1003" t="s">
        <v>1016</v>
      </c>
      <c r="E382" s="1498" t="s">
        <v>556</v>
      </c>
      <c r="F382" s="810" t="s">
        <v>724</v>
      </c>
      <c r="G382" s="810" t="s">
        <v>806</v>
      </c>
      <c r="H382" s="1068" t="s">
        <v>442</v>
      </c>
      <c r="I382" s="1069" t="s">
        <v>443</v>
      </c>
      <c r="J382" s="1070" t="s">
        <v>443</v>
      </c>
      <c r="L382" s="734"/>
      <c r="M382" s="754"/>
      <c r="N382" s="734"/>
      <c r="O382" s="734"/>
      <c r="P382" s="734"/>
      <c r="Q382" s="734"/>
      <c r="R382" s="734"/>
    </row>
    <row r="383" spans="2:18" s="747" customFormat="1" x14ac:dyDescent="0.2">
      <c r="B383" s="737"/>
      <c r="C383" s="1176"/>
      <c r="D383" s="906"/>
      <c r="E383" s="1499" t="s">
        <v>558</v>
      </c>
      <c r="F383" s="1100" t="s">
        <v>1018</v>
      </c>
      <c r="G383" s="1100" t="s">
        <v>1018</v>
      </c>
      <c r="H383" s="1101" t="s">
        <v>448</v>
      </c>
      <c r="I383" s="858" t="s">
        <v>445</v>
      </c>
      <c r="J383" s="859" t="s">
        <v>315</v>
      </c>
      <c r="L383" s="745"/>
      <c r="M383" s="754"/>
      <c r="N383" s="745"/>
      <c r="O383" s="745"/>
      <c r="P383" s="745"/>
      <c r="Q383" s="745"/>
      <c r="R383" s="745"/>
    </row>
    <row r="384" spans="2:18" s="755" customFormat="1" x14ac:dyDescent="0.2">
      <c r="B384" s="1142"/>
      <c r="C384" s="1143" t="s">
        <v>795</v>
      </c>
      <c r="D384" s="1126"/>
      <c r="E384" s="1126"/>
      <c r="F384" s="1126"/>
      <c r="G384" s="1126"/>
      <c r="H384" s="1126"/>
      <c r="I384" s="1126"/>
      <c r="J384" s="1128"/>
      <c r="L384" s="754"/>
      <c r="M384" s="754"/>
      <c r="N384" s="754"/>
      <c r="O384" s="754"/>
      <c r="P384" s="754"/>
      <c r="Q384" s="754"/>
      <c r="R384" s="754"/>
    </row>
    <row r="385" spans="2:18" s="755" customFormat="1" x14ac:dyDescent="0.2">
      <c r="B385" s="958" t="s">
        <v>711</v>
      </c>
      <c r="C385" s="1179"/>
      <c r="D385" s="1495"/>
      <c r="E385" s="1090"/>
      <c r="F385" s="1510"/>
      <c r="G385" s="1510"/>
      <c r="H385" s="960">
        <f>I385*2</f>
        <v>0</v>
      </c>
      <c r="I385" s="960">
        <f>J385*15</f>
        <v>0</v>
      </c>
      <c r="J385" s="928">
        <f>IF(Q385&gt;35,35,Q385)</f>
        <v>0</v>
      </c>
      <c r="L385" s="754"/>
      <c r="M385" s="754">
        <f>IF(F385&lt;&gt;"",IF(F385&lt;$M$13,0,1),0)</f>
        <v>0</v>
      </c>
      <c r="N385" s="754">
        <f>IF(G385&lt;&gt;"",IF(G385&gt;$N$13,1,IF(G385&gt;=$M$13,1,0)),0)</f>
        <v>0</v>
      </c>
      <c r="O385" s="754">
        <f>IF(OR(M385=1,N385=1),1,0)</f>
        <v>0</v>
      </c>
      <c r="P385" s="767">
        <f>IF(OR(D385="",E385=0,D385="",E385=0),0,D385*(E385/100))</f>
        <v>0</v>
      </c>
      <c r="Q385" s="768">
        <f>IF(P385&gt;=200000,((TRUNC(P385/200000,0)*100000)*0.000005)+10.5,IF(P385&gt;=110000,(170+TRUNC(((P385-20000)/30000),0)*30)/30,IF(P385&gt;=50000,(110+TRUNC(((P385-10000)/20000),0)*30)/30,IF(P385&gt;0,(20+TRUNC((P385/10000),0)*30)/30,0))))</f>
        <v>0</v>
      </c>
      <c r="R385" s="754"/>
    </row>
    <row r="386" spans="2:18" s="755" customFormat="1" x14ac:dyDescent="0.2">
      <c r="B386" s="958" t="s">
        <v>712</v>
      </c>
      <c r="C386" s="1179"/>
      <c r="D386" s="1495"/>
      <c r="E386" s="1090"/>
      <c r="F386" s="1510"/>
      <c r="G386" s="1510"/>
      <c r="H386" s="960">
        <f t="shared" ref="H386:H389" si="59">I386*2</f>
        <v>0</v>
      </c>
      <c r="I386" s="960">
        <f t="shared" ref="I386:I389" si="60">J386*15</f>
        <v>0</v>
      </c>
      <c r="J386" s="928">
        <f t="shared" ref="J386:J388" si="61">IF(Q386&gt;35,35,Q386)</f>
        <v>0</v>
      </c>
      <c r="L386" s="754"/>
      <c r="M386" s="754">
        <f t="shared" ref="M386:M396" si="62">IF(F386&lt;&gt;"",IF(F386&lt;$M$13,0,1),0)</f>
        <v>0</v>
      </c>
      <c r="N386" s="754">
        <f t="shared" ref="N386:N396" si="63">IF(G386&lt;&gt;"",IF(G386&gt;$N$13,1,IF(G386&gt;=$M$13,1,0)),0)</f>
        <v>0</v>
      </c>
      <c r="O386" s="754">
        <f t="shared" ref="O386:O396" si="64">IF(OR(M386=1,N386=1),1,0)</f>
        <v>0</v>
      </c>
      <c r="P386" s="767">
        <f t="shared" ref="P386:P389" si="65">IF(OR(D386="",E386=0,D386="",E386=0),0,D386*(E386/100))</f>
        <v>0</v>
      </c>
      <c r="Q386" s="768">
        <f t="shared" ref="Q386:Q389" si="66">IF(P386&gt;=200000,((TRUNC(P386/200000,0)*100000)*0.000005)+10.5,IF(P386&gt;=110000,(170+TRUNC(((P386-20000)/30000),0)*30)/30,IF(P386&gt;=50000,(110+TRUNC(((P386-10000)/20000),0)*30)/30,IF(P386&gt;0,(20+TRUNC((P386/10000),0)*30)/30,0))))</f>
        <v>0</v>
      </c>
      <c r="R386" s="754"/>
    </row>
    <row r="387" spans="2:18" s="755" customFormat="1" x14ac:dyDescent="0.2">
      <c r="B387" s="958" t="s">
        <v>713</v>
      </c>
      <c r="C387" s="1179"/>
      <c r="D387" s="1495"/>
      <c r="E387" s="1090"/>
      <c r="F387" s="1510"/>
      <c r="G387" s="1510"/>
      <c r="H387" s="960">
        <f t="shared" si="59"/>
        <v>0</v>
      </c>
      <c r="I387" s="960">
        <f t="shared" si="60"/>
        <v>0</v>
      </c>
      <c r="J387" s="928">
        <f t="shared" si="61"/>
        <v>0</v>
      </c>
      <c r="L387" s="754"/>
      <c r="M387" s="754">
        <f t="shared" si="62"/>
        <v>0</v>
      </c>
      <c r="N387" s="754">
        <f t="shared" si="63"/>
        <v>0</v>
      </c>
      <c r="O387" s="754">
        <f t="shared" si="64"/>
        <v>0</v>
      </c>
      <c r="P387" s="767">
        <f t="shared" si="65"/>
        <v>0</v>
      </c>
      <c r="Q387" s="768">
        <f t="shared" si="66"/>
        <v>0</v>
      </c>
      <c r="R387" s="754"/>
    </row>
    <row r="388" spans="2:18" s="755" customFormat="1" x14ac:dyDescent="0.2">
      <c r="B388" s="958" t="s">
        <v>714</v>
      </c>
      <c r="C388" s="1179"/>
      <c r="D388" s="1495"/>
      <c r="E388" s="1090"/>
      <c r="F388" s="1510"/>
      <c r="G388" s="1510"/>
      <c r="H388" s="960">
        <f t="shared" si="59"/>
        <v>0</v>
      </c>
      <c r="I388" s="960">
        <f t="shared" si="60"/>
        <v>0</v>
      </c>
      <c r="J388" s="928">
        <f t="shared" si="61"/>
        <v>0</v>
      </c>
      <c r="L388" s="754"/>
      <c r="M388" s="754">
        <f t="shared" si="62"/>
        <v>0</v>
      </c>
      <c r="N388" s="754">
        <f t="shared" si="63"/>
        <v>0</v>
      </c>
      <c r="O388" s="754">
        <f t="shared" si="64"/>
        <v>0</v>
      </c>
      <c r="P388" s="767">
        <f t="shared" si="65"/>
        <v>0</v>
      </c>
      <c r="Q388" s="768">
        <f t="shared" si="66"/>
        <v>0</v>
      </c>
      <c r="R388" s="754"/>
    </row>
    <row r="389" spans="2:18" s="755" customFormat="1" x14ac:dyDescent="0.2">
      <c r="B389" s="958" t="s">
        <v>715</v>
      </c>
      <c r="C389" s="1179"/>
      <c r="D389" s="1495"/>
      <c r="E389" s="1090"/>
      <c r="F389" s="1510"/>
      <c r="G389" s="1510"/>
      <c r="H389" s="960">
        <f t="shared" si="59"/>
        <v>0</v>
      </c>
      <c r="I389" s="960">
        <f t="shared" si="60"/>
        <v>0</v>
      </c>
      <c r="J389" s="928">
        <f>IF(Q389&gt;35,35,Q389)</f>
        <v>0</v>
      </c>
      <c r="L389" s="754"/>
      <c r="M389" s="754">
        <f t="shared" si="62"/>
        <v>0</v>
      </c>
      <c r="N389" s="754">
        <f t="shared" si="63"/>
        <v>0</v>
      </c>
      <c r="O389" s="754">
        <f t="shared" si="64"/>
        <v>0</v>
      </c>
      <c r="P389" s="767">
        <f t="shared" si="65"/>
        <v>0</v>
      </c>
      <c r="Q389" s="768">
        <f t="shared" si="66"/>
        <v>0</v>
      </c>
      <c r="R389" s="754"/>
    </row>
    <row r="390" spans="2:18" s="755" customFormat="1" x14ac:dyDescent="0.2">
      <c r="B390" s="1481"/>
      <c r="C390" s="1482"/>
      <c r="D390" s="1482"/>
      <c r="E390" s="1483"/>
      <c r="F390" s="1484"/>
      <c r="G390" s="1485">
        <f>SUM(O385:O389)</f>
        <v>0</v>
      </c>
      <c r="H390" s="1486" t="s">
        <v>283</v>
      </c>
      <c r="I390" s="1487">
        <f>SUM(I385:I389)</f>
        <v>0</v>
      </c>
      <c r="J390" s="1488">
        <f>SUM(J385:J389)</f>
        <v>0</v>
      </c>
      <c r="L390" s="754"/>
      <c r="M390" s="754"/>
      <c r="N390" s="754"/>
      <c r="O390" s="754"/>
      <c r="P390" s="754"/>
      <c r="Q390" s="754"/>
      <c r="R390" s="754"/>
    </row>
    <row r="391" spans="2:18" s="755" customFormat="1" x14ac:dyDescent="0.2">
      <c r="B391" s="1489"/>
      <c r="C391" s="1490" t="s">
        <v>796</v>
      </c>
      <c r="D391" s="1491"/>
      <c r="E391" s="1492"/>
      <c r="F391" s="1492"/>
      <c r="G391" s="1492"/>
      <c r="H391" s="1492"/>
      <c r="I391" s="1493"/>
      <c r="J391" s="1494"/>
      <c r="L391" s="754"/>
      <c r="M391" s="754"/>
      <c r="N391" s="754"/>
      <c r="O391" s="754"/>
      <c r="P391" s="754"/>
      <c r="Q391" s="754"/>
      <c r="R391" s="754"/>
    </row>
    <row r="392" spans="2:18" s="755" customFormat="1" x14ac:dyDescent="0.2">
      <c r="B392" s="958" t="s">
        <v>711</v>
      </c>
      <c r="C392" s="1179"/>
      <c r="D392" s="1495"/>
      <c r="E392" s="1090"/>
      <c r="F392" s="1510"/>
      <c r="G392" s="1510"/>
      <c r="H392" s="960">
        <f>I392*2</f>
        <v>0</v>
      </c>
      <c r="I392" s="960">
        <f>J392*15</f>
        <v>0</v>
      </c>
      <c r="J392" s="928">
        <f>IF(Q392&gt;35,35,Q392)</f>
        <v>0</v>
      </c>
      <c r="L392" s="754"/>
      <c r="M392" s="754">
        <f>IF(F392&lt;&gt;"",IF(F392&lt;$M$13,0,1),0)</f>
        <v>0</v>
      </c>
      <c r="N392" s="754">
        <f t="shared" si="63"/>
        <v>0</v>
      </c>
      <c r="O392" s="754">
        <f t="shared" si="64"/>
        <v>0</v>
      </c>
      <c r="P392" s="767">
        <f>IF(OR(D392="",D392=0,E392="",E392=0),0,D392*(E392/100))</f>
        <v>0</v>
      </c>
      <c r="Q392" s="768">
        <f>IF(P392&gt;=100000,((TRUNC(P392/100000,0)*100000)*0.000005)+10.5,IF(P392&gt;=55000,(170+TRUNC(((P392-10000)/15000),0)*30)/30,IF(P392&gt;=25000,(110+TRUNC(((P392-5000)/10000),0)*30)/30,IF(P392&gt;0,(20+TRUNC((P392/5000),0)*30)/30,0))))</f>
        <v>0</v>
      </c>
      <c r="R392" s="754"/>
    </row>
    <row r="393" spans="2:18" s="755" customFormat="1" x14ac:dyDescent="0.2">
      <c r="B393" s="958" t="s">
        <v>712</v>
      </c>
      <c r="C393" s="1179"/>
      <c r="D393" s="1495"/>
      <c r="E393" s="1090"/>
      <c r="F393" s="1510"/>
      <c r="G393" s="1510"/>
      <c r="H393" s="960">
        <f t="shared" ref="H393:H396" si="67">I393*2</f>
        <v>0</v>
      </c>
      <c r="I393" s="960">
        <f t="shared" ref="I393:I396" si="68">J393*15</f>
        <v>0</v>
      </c>
      <c r="J393" s="928">
        <f t="shared" ref="J393:J396" si="69">IF(Q393&gt;35,35,Q393)</f>
        <v>0</v>
      </c>
      <c r="L393" s="754"/>
      <c r="M393" s="754">
        <f t="shared" si="62"/>
        <v>0</v>
      </c>
      <c r="N393" s="754">
        <f t="shared" si="63"/>
        <v>0</v>
      </c>
      <c r="O393" s="754">
        <f t="shared" si="64"/>
        <v>0</v>
      </c>
      <c r="P393" s="767">
        <f t="shared" ref="P393:P396" si="70">IF(OR(D393="",D393=0,E393="",E393=0),0,D393*(E393/100))</f>
        <v>0</v>
      </c>
      <c r="Q393" s="768">
        <f t="shared" ref="Q393:Q396" si="71">IF(P393&gt;=100000,((TRUNC(P393/100000,0)*100000)*0.000005)+10.5,IF(P393&gt;=55000,(170+TRUNC(((P393-10000)/15000),0)*30)/30,IF(P393&gt;=25000,(110+TRUNC(((P393-5000)/10000),0)*30)/30,IF(P393&gt;0,(20+TRUNC((P393/5000),0)*30)/30,0))))</f>
        <v>0</v>
      </c>
      <c r="R393" s="754"/>
    </row>
    <row r="394" spans="2:18" s="755" customFormat="1" x14ac:dyDescent="0.2">
      <c r="B394" s="958" t="s">
        <v>713</v>
      </c>
      <c r="C394" s="1179"/>
      <c r="D394" s="1495"/>
      <c r="E394" s="1090"/>
      <c r="F394" s="1510"/>
      <c r="G394" s="1510"/>
      <c r="H394" s="960">
        <f t="shared" si="67"/>
        <v>0</v>
      </c>
      <c r="I394" s="960">
        <f t="shared" si="68"/>
        <v>0</v>
      </c>
      <c r="J394" s="928">
        <f t="shared" si="69"/>
        <v>0</v>
      </c>
      <c r="L394" s="754"/>
      <c r="M394" s="754">
        <f t="shared" si="62"/>
        <v>0</v>
      </c>
      <c r="N394" s="754">
        <f t="shared" si="63"/>
        <v>0</v>
      </c>
      <c r="O394" s="754">
        <f t="shared" si="64"/>
        <v>0</v>
      </c>
      <c r="P394" s="767">
        <f t="shared" si="70"/>
        <v>0</v>
      </c>
      <c r="Q394" s="768">
        <f t="shared" si="71"/>
        <v>0</v>
      </c>
      <c r="R394" s="754"/>
    </row>
    <row r="395" spans="2:18" s="755" customFormat="1" x14ac:dyDescent="0.2">
      <c r="B395" s="958" t="s">
        <v>714</v>
      </c>
      <c r="C395" s="1179"/>
      <c r="D395" s="1495"/>
      <c r="E395" s="1090"/>
      <c r="F395" s="1510"/>
      <c r="G395" s="1510"/>
      <c r="H395" s="960">
        <f t="shared" si="67"/>
        <v>0</v>
      </c>
      <c r="I395" s="960">
        <f t="shared" si="68"/>
        <v>0</v>
      </c>
      <c r="J395" s="928">
        <f t="shared" si="69"/>
        <v>0</v>
      </c>
      <c r="L395" s="754"/>
      <c r="M395" s="754">
        <f t="shared" si="62"/>
        <v>0</v>
      </c>
      <c r="N395" s="754">
        <f t="shared" si="63"/>
        <v>0</v>
      </c>
      <c r="O395" s="754">
        <f t="shared" si="64"/>
        <v>0</v>
      </c>
      <c r="P395" s="767">
        <f t="shared" si="70"/>
        <v>0</v>
      </c>
      <c r="Q395" s="768">
        <f t="shared" si="71"/>
        <v>0</v>
      </c>
      <c r="R395" s="754"/>
    </row>
    <row r="396" spans="2:18" s="755" customFormat="1" x14ac:dyDescent="0.2">
      <c r="B396" s="958" t="s">
        <v>715</v>
      </c>
      <c r="C396" s="1179"/>
      <c r="D396" s="1495"/>
      <c r="E396" s="1090"/>
      <c r="F396" s="1510"/>
      <c r="G396" s="1510"/>
      <c r="H396" s="960">
        <f t="shared" si="67"/>
        <v>0</v>
      </c>
      <c r="I396" s="960">
        <f t="shared" si="68"/>
        <v>0</v>
      </c>
      <c r="J396" s="928">
        <f t="shared" si="69"/>
        <v>0</v>
      </c>
      <c r="L396" s="754"/>
      <c r="M396" s="754">
        <f t="shared" si="62"/>
        <v>0</v>
      </c>
      <c r="N396" s="754">
        <f t="shared" si="63"/>
        <v>0</v>
      </c>
      <c r="O396" s="754">
        <f t="shared" si="64"/>
        <v>0</v>
      </c>
      <c r="P396" s="767">
        <f t="shared" si="70"/>
        <v>0</v>
      </c>
      <c r="Q396" s="768">
        <f t="shared" si="71"/>
        <v>0</v>
      </c>
      <c r="R396" s="754"/>
    </row>
    <row r="397" spans="2:18" s="755" customFormat="1" x14ac:dyDescent="0.2">
      <c r="B397" s="1074"/>
      <c r="C397" s="866"/>
      <c r="D397" s="866"/>
      <c r="E397" s="1075"/>
      <c r="F397" s="1076"/>
      <c r="G397" s="1077">
        <f>SUM(O392:O396)</f>
        <v>0</v>
      </c>
      <c r="H397" s="867" t="s">
        <v>283</v>
      </c>
      <c r="I397" s="1145">
        <f>SUM(I392:I396)</f>
        <v>0</v>
      </c>
      <c r="J397" s="1146">
        <f>SUM(J392:J396)</f>
        <v>0</v>
      </c>
      <c r="L397" s="754"/>
      <c r="M397" s="754"/>
      <c r="N397" s="754"/>
      <c r="O397" s="754"/>
      <c r="P397" s="754"/>
      <c r="Q397" s="754"/>
      <c r="R397" s="754"/>
    </row>
    <row r="398" spans="2:18" s="842" customFormat="1" ht="5.25" customHeight="1" x14ac:dyDescent="0.2">
      <c r="B398" s="1107"/>
      <c r="C398" s="1085"/>
      <c r="D398" s="1085"/>
      <c r="E398" s="1088"/>
      <c r="F398" s="1088"/>
      <c r="G398" s="1088"/>
      <c r="H398" s="1088"/>
      <c r="I398" s="1147"/>
      <c r="J398" s="1148"/>
      <c r="L398" s="840"/>
      <c r="M398" s="754"/>
      <c r="N398" s="840"/>
      <c r="O398" s="840"/>
      <c r="P398" s="840"/>
      <c r="Q398" s="840"/>
      <c r="R398" s="840"/>
    </row>
    <row r="399" spans="2:18" s="682" customFormat="1" ht="21" customHeight="1" x14ac:dyDescent="0.25">
      <c r="B399" s="1136" t="s">
        <v>797</v>
      </c>
      <c r="C399" s="1137"/>
      <c r="D399" s="1137"/>
      <c r="E399" s="1138"/>
      <c r="F399" s="1139"/>
      <c r="G399" s="1139"/>
      <c r="H399" s="1139"/>
      <c r="I399" s="1140"/>
      <c r="J399" s="1141"/>
      <c r="L399" s="685"/>
      <c r="M399" s="754"/>
      <c r="N399" s="685"/>
      <c r="O399" s="685"/>
      <c r="P399" s="685"/>
      <c r="Q399" s="685"/>
      <c r="R399" s="685"/>
    </row>
    <row r="400" spans="2:18" s="736" customFormat="1" x14ac:dyDescent="0.2">
      <c r="B400" s="809"/>
      <c r="C400" s="3030" t="s">
        <v>491</v>
      </c>
      <c r="D400" s="3031"/>
      <c r="E400" s="3032"/>
      <c r="F400" s="1003" t="s">
        <v>710</v>
      </c>
      <c r="G400" s="810" t="s">
        <v>724</v>
      </c>
      <c r="H400" s="1068" t="s">
        <v>442</v>
      </c>
      <c r="I400" s="1069" t="s">
        <v>443</v>
      </c>
      <c r="J400" s="1070" t="s">
        <v>443</v>
      </c>
      <c r="L400" s="734"/>
      <c r="M400" s="754"/>
      <c r="N400" s="734"/>
      <c r="O400" s="734"/>
      <c r="P400" s="734"/>
      <c r="Q400" s="734"/>
      <c r="R400" s="734"/>
    </row>
    <row r="401" spans="2:18" s="747" customFormat="1" x14ac:dyDescent="0.2">
      <c r="B401" s="737"/>
      <c r="C401" s="738"/>
      <c r="D401" s="1071"/>
      <c r="E401" s="813"/>
      <c r="F401" s="906"/>
      <c r="G401" s="1100" t="s">
        <v>1018</v>
      </c>
      <c r="H401" s="1101" t="s">
        <v>448</v>
      </c>
      <c r="I401" s="858" t="s">
        <v>445</v>
      </c>
      <c r="J401" s="859" t="s">
        <v>315</v>
      </c>
      <c r="L401" s="745"/>
      <c r="M401" s="754"/>
      <c r="N401" s="745"/>
      <c r="O401" s="745"/>
      <c r="P401" s="745"/>
      <c r="Q401" s="745"/>
      <c r="R401" s="745"/>
    </row>
    <row r="402" spans="2:18" s="1134" customFormat="1" x14ac:dyDescent="0.2">
      <c r="B402" s="958" t="s">
        <v>711</v>
      </c>
      <c r="C402" s="3008"/>
      <c r="D402" s="3056"/>
      <c r="E402" s="3009"/>
      <c r="F402" s="1090"/>
      <c r="G402" s="1510"/>
      <c r="H402" s="1073">
        <v>3</v>
      </c>
      <c r="I402" s="960">
        <f>F402*H402</f>
        <v>0</v>
      </c>
      <c r="J402" s="928">
        <f>I402/15</f>
        <v>0</v>
      </c>
      <c r="L402" s="1135"/>
      <c r="M402" s="754">
        <f>IF(G402&lt;&gt;"",IF(AND(G402&gt;=$M$13,G402&lt;=$N$13),1,0),0)</f>
        <v>0</v>
      </c>
      <c r="N402" s="1135"/>
      <c r="O402" s="1135"/>
      <c r="P402" s="1135"/>
      <c r="Q402" s="1135"/>
      <c r="R402" s="1135"/>
    </row>
    <row r="403" spans="2:18" s="1134" customFormat="1" x14ac:dyDescent="0.2">
      <c r="B403" s="958" t="s">
        <v>712</v>
      </c>
      <c r="C403" s="3008"/>
      <c r="D403" s="3056"/>
      <c r="E403" s="3009"/>
      <c r="F403" s="1090"/>
      <c r="G403" s="1510"/>
      <c r="H403" s="1073">
        <v>3</v>
      </c>
      <c r="I403" s="960">
        <f>F403*H403</f>
        <v>0</v>
      </c>
      <c r="J403" s="928">
        <f>I403/15</f>
        <v>0</v>
      </c>
      <c r="L403" s="1135"/>
      <c r="M403" s="754">
        <f>IF(G403&lt;&gt;"",IF(AND(G403&gt;=$M$13,G403&lt;=$N$13),1,0),0)</f>
        <v>0</v>
      </c>
      <c r="N403" s="1135"/>
      <c r="O403" s="1135"/>
      <c r="P403" s="1135"/>
      <c r="Q403" s="1135"/>
      <c r="R403" s="1135"/>
    </row>
    <row r="404" spans="2:18" s="1134" customFormat="1" x14ac:dyDescent="0.2">
      <c r="B404" s="958" t="s">
        <v>713</v>
      </c>
      <c r="C404" s="3008"/>
      <c r="D404" s="3056"/>
      <c r="E404" s="3009"/>
      <c r="F404" s="1090"/>
      <c r="G404" s="1510"/>
      <c r="H404" s="1073">
        <v>3</v>
      </c>
      <c r="I404" s="960">
        <f>F404*H404</f>
        <v>0</v>
      </c>
      <c r="J404" s="928">
        <f>I404/15</f>
        <v>0</v>
      </c>
      <c r="L404" s="1135"/>
      <c r="M404" s="754">
        <f>IF(G404&lt;&gt;"",IF(AND(G404&gt;=$M$13,G404&lt;=$N$13),1,0),0)</f>
        <v>0</v>
      </c>
      <c r="N404" s="1135"/>
      <c r="O404" s="1135"/>
      <c r="P404" s="1135"/>
      <c r="Q404" s="1135"/>
      <c r="R404" s="1135"/>
    </row>
    <row r="405" spans="2:18" s="1134" customFormat="1" x14ac:dyDescent="0.2">
      <c r="B405" s="958" t="s">
        <v>714</v>
      </c>
      <c r="C405" s="3008"/>
      <c r="D405" s="3056"/>
      <c r="E405" s="3009"/>
      <c r="F405" s="1090"/>
      <c r="G405" s="1510"/>
      <c r="H405" s="1073">
        <v>3</v>
      </c>
      <c r="I405" s="960">
        <f>F405*H405</f>
        <v>0</v>
      </c>
      <c r="J405" s="928">
        <f>I405/15</f>
        <v>0</v>
      </c>
      <c r="L405" s="1135"/>
      <c r="M405" s="754">
        <f>IF(G405&lt;&gt;"",IF(AND(G405&gt;=$M$13,G405&lt;=$N$13),1,0),0)</f>
        <v>0</v>
      </c>
      <c r="N405" s="1135"/>
      <c r="O405" s="1135"/>
      <c r="P405" s="1135"/>
      <c r="Q405" s="1135"/>
      <c r="R405" s="1135"/>
    </row>
    <row r="406" spans="2:18" s="1134" customFormat="1" x14ac:dyDescent="0.2">
      <c r="B406" s="958" t="s">
        <v>715</v>
      </c>
      <c r="C406" s="3008"/>
      <c r="D406" s="3056"/>
      <c r="E406" s="3009"/>
      <c r="F406" s="1090"/>
      <c r="G406" s="1510"/>
      <c r="H406" s="1073">
        <v>3</v>
      </c>
      <c r="I406" s="960">
        <f>F406*H406</f>
        <v>0</v>
      </c>
      <c r="J406" s="928">
        <f>I406/15</f>
        <v>0</v>
      </c>
      <c r="L406" s="1135"/>
      <c r="M406" s="754">
        <f>IF(G406&lt;&gt;"",IF(AND(G406&gt;=$M$13,G406&lt;=$N$13),1,0),0)</f>
        <v>0</v>
      </c>
      <c r="N406" s="1135"/>
      <c r="O406" s="1135"/>
      <c r="P406" s="1135"/>
      <c r="Q406" s="1135"/>
      <c r="R406" s="1135"/>
    </row>
    <row r="407" spans="2:18" s="1134" customFormat="1" x14ac:dyDescent="0.2">
      <c r="B407" s="1074"/>
      <c r="C407" s="866"/>
      <c r="D407" s="866"/>
      <c r="E407" s="1075"/>
      <c r="F407" s="1076"/>
      <c r="G407" s="1077">
        <f>SUM(M402:M406)</f>
        <v>0</v>
      </c>
      <c r="H407" s="867" t="s">
        <v>283</v>
      </c>
      <c r="I407" s="1145">
        <f>SUM(I402:I406)</f>
        <v>0</v>
      </c>
      <c r="J407" s="1146">
        <f>SUM(J402:J406)</f>
        <v>0</v>
      </c>
      <c r="L407" s="1135"/>
      <c r="M407" s="754"/>
      <c r="N407" s="1135"/>
      <c r="O407" s="1135"/>
      <c r="P407" s="1135"/>
      <c r="Q407" s="1135"/>
      <c r="R407" s="1135"/>
    </row>
    <row r="408" spans="2:18" s="755" customFormat="1" ht="21" customHeight="1" x14ac:dyDescent="0.2">
      <c r="B408" s="1149"/>
      <c r="C408" s="827"/>
      <c r="D408" s="827"/>
      <c r="E408" s="827"/>
      <c r="F408" s="827"/>
      <c r="G408" s="827"/>
      <c r="H408" s="1150" t="s">
        <v>798</v>
      </c>
      <c r="I408" s="1151">
        <f>I390+I397+I407</f>
        <v>0</v>
      </c>
      <c r="J408" s="1151">
        <f>J390+J397+J407</f>
        <v>0</v>
      </c>
      <c r="L408" s="754"/>
      <c r="M408" s="754"/>
      <c r="N408" s="754"/>
      <c r="O408" s="754"/>
      <c r="P408" s="754"/>
      <c r="Q408" s="754"/>
      <c r="R408" s="754"/>
    </row>
    <row r="409" spans="2:18" s="842" customFormat="1" ht="15" x14ac:dyDescent="0.2">
      <c r="B409" s="968"/>
      <c r="C409" s="1092"/>
      <c r="D409" s="1092"/>
      <c r="E409" s="1092"/>
      <c r="F409" s="968"/>
      <c r="G409" s="968"/>
      <c r="H409" s="1092"/>
      <c r="I409" s="981"/>
      <c r="J409" s="981"/>
      <c r="L409" s="840"/>
      <c r="M409" s="754"/>
      <c r="N409" s="840"/>
      <c r="O409" s="840"/>
      <c r="P409" s="840"/>
      <c r="Q409" s="840"/>
      <c r="R409" s="840"/>
    </row>
    <row r="410" spans="2:18" s="682" customFormat="1" ht="21" customHeight="1" x14ac:dyDescent="0.25">
      <c r="B410" s="710" t="s">
        <v>799</v>
      </c>
      <c r="C410" s="1066"/>
      <c r="D410" s="1066"/>
      <c r="E410" s="712"/>
      <c r="F410" s="714"/>
      <c r="G410" s="714"/>
      <c r="H410" s="714"/>
      <c r="I410" s="714"/>
      <c r="J410" s="1067"/>
      <c r="L410" s="685"/>
      <c r="M410" s="754"/>
      <c r="N410" s="685"/>
      <c r="O410" s="685"/>
      <c r="P410" s="685"/>
      <c r="Q410" s="685"/>
      <c r="R410" s="685"/>
    </row>
    <row r="411" spans="2:18" s="736" customFormat="1" x14ac:dyDescent="0.2">
      <c r="B411" s="809"/>
      <c r="C411" s="3030" t="s">
        <v>788</v>
      </c>
      <c r="D411" s="3031"/>
      <c r="E411" s="3032"/>
      <c r="F411" s="1003" t="s">
        <v>563</v>
      </c>
      <c r="G411" s="810" t="s">
        <v>724</v>
      </c>
      <c r="H411" s="1068" t="s">
        <v>442</v>
      </c>
      <c r="I411" s="1069" t="s">
        <v>443</v>
      </c>
      <c r="J411" s="1070" t="s">
        <v>443</v>
      </c>
      <c r="L411" s="734"/>
      <c r="M411" s="754"/>
      <c r="N411" s="734"/>
      <c r="O411" s="734"/>
      <c r="P411" s="734"/>
      <c r="Q411" s="734"/>
      <c r="R411" s="734"/>
    </row>
    <row r="412" spans="2:18" s="747" customFormat="1" x14ac:dyDescent="0.2">
      <c r="B412" s="737"/>
      <c r="C412" s="738"/>
      <c r="D412" s="1071"/>
      <c r="E412" s="1113"/>
      <c r="F412" s="739" t="s">
        <v>800</v>
      </c>
      <c r="G412" s="1100" t="s">
        <v>1018</v>
      </c>
      <c r="H412" s="1101" t="s">
        <v>448</v>
      </c>
      <c r="I412" s="858" t="s">
        <v>445</v>
      </c>
      <c r="J412" s="859" t="s">
        <v>315</v>
      </c>
      <c r="L412" s="745"/>
      <c r="M412" s="754"/>
      <c r="N412" s="745"/>
      <c r="O412" s="745"/>
      <c r="P412" s="745"/>
      <c r="Q412" s="745"/>
      <c r="R412" s="745"/>
    </row>
    <row r="413" spans="2:18" s="755" customFormat="1" x14ac:dyDescent="0.2">
      <c r="B413" s="958" t="s">
        <v>547</v>
      </c>
      <c r="C413" s="3008"/>
      <c r="D413" s="3056"/>
      <c r="E413" s="3009"/>
      <c r="F413" s="1090"/>
      <c r="G413" s="1510"/>
      <c r="H413" s="1073">
        <v>1</v>
      </c>
      <c r="I413" s="960">
        <f>F413*H413</f>
        <v>0</v>
      </c>
      <c r="J413" s="928">
        <f>I413/15</f>
        <v>0</v>
      </c>
      <c r="L413" s="754"/>
      <c r="M413" s="754">
        <f>IF(G413&lt;&gt;"",IF(AND(G413&gt;=$M$13,G413&lt;=$N$13),1,0),0)</f>
        <v>0</v>
      </c>
      <c r="N413" s="754"/>
      <c r="O413" s="754"/>
      <c r="P413" s="754"/>
      <c r="Q413" s="754"/>
      <c r="R413" s="754"/>
    </row>
    <row r="414" spans="2:18" s="755" customFormat="1" x14ac:dyDescent="0.2">
      <c r="B414" s="958" t="s">
        <v>548</v>
      </c>
      <c r="C414" s="3008"/>
      <c r="D414" s="3056"/>
      <c r="E414" s="3009"/>
      <c r="F414" s="1090"/>
      <c r="G414" s="1510"/>
      <c r="H414" s="1073">
        <v>1</v>
      </c>
      <c r="I414" s="960">
        <f>F414*H414</f>
        <v>0</v>
      </c>
      <c r="J414" s="928">
        <f>I414/15</f>
        <v>0</v>
      </c>
      <c r="L414" s="754"/>
      <c r="M414" s="754">
        <f>IF(G414&lt;&gt;"",IF(AND(G414&gt;=$M$13,G414&lt;=$N$13),1,0),0)</f>
        <v>0</v>
      </c>
      <c r="N414" s="754"/>
      <c r="O414" s="754"/>
      <c r="P414" s="754"/>
      <c r="Q414" s="754"/>
      <c r="R414" s="754"/>
    </row>
    <row r="415" spans="2:18" s="755" customFormat="1" x14ac:dyDescent="0.2">
      <c r="B415" s="958" t="s">
        <v>549</v>
      </c>
      <c r="C415" s="3008"/>
      <c r="D415" s="3056"/>
      <c r="E415" s="3009"/>
      <c r="F415" s="1090"/>
      <c r="G415" s="1510"/>
      <c r="H415" s="1073">
        <v>1</v>
      </c>
      <c r="I415" s="960">
        <f>F415*H415</f>
        <v>0</v>
      </c>
      <c r="J415" s="928">
        <f>I415/15</f>
        <v>0</v>
      </c>
      <c r="L415" s="754"/>
      <c r="M415" s="754">
        <f>IF(G415&lt;&gt;"",IF(AND(G415&gt;=$M$13,G415&lt;=$N$13),1,0),0)</f>
        <v>0</v>
      </c>
      <c r="N415" s="754"/>
      <c r="O415" s="754"/>
      <c r="P415" s="754"/>
      <c r="Q415" s="754"/>
      <c r="R415" s="754"/>
    </row>
    <row r="416" spans="2:18" s="755" customFormat="1" x14ac:dyDescent="0.2">
      <c r="B416" s="958" t="s">
        <v>550</v>
      </c>
      <c r="C416" s="3008"/>
      <c r="D416" s="3056"/>
      <c r="E416" s="3009"/>
      <c r="F416" s="1090"/>
      <c r="G416" s="1510"/>
      <c r="H416" s="1073">
        <v>1</v>
      </c>
      <c r="I416" s="960">
        <f>F416*H416</f>
        <v>0</v>
      </c>
      <c r="J416" s="928">
        <f>I416/15</f>
        <v>0</v>
      </c>
      <c r="L416" s="754"/>
      <c r="M416" s="754">
        <f>IF(G416&lt;&gt;"",IF(AND(G416&gt;=$M$13,G416&lt;=$N$13),1,0),0)</f>
        <v>0</v>
      </c>
      <c r="N416" s="754"/>
      <c r="O416" s="754"/>
      <c r="P416" s="754"/>
      <c r="Q416" s="754"/>
      <c r="R416" s="754"/>
    </row>
    <row r="417" spans="2:18" s="755" customFormat="1" x14ac:dyDescent="0.2">
      <c r="B417" s="958" t="s">
        <v>551</v>
      </c>
      <c r="C417" s="3008"/>
      <c r="D417" s="3056"/>
      <c r="E417" s="3009"/>
      <c r="F417" s="1090"/>
      <c r="G417" s="1510"/>
      <c r="H417" s="1073">
        <v>1</v>
      </c>
      <c r="I417" s="960">
        <f>F417*H417</f>
        <v>0</v>
      </c>
      <c r="J417" s="928">
        <f>I417/15</f>
        <v>0</v>
      </c>
      <c r="L417" s="754"/>
      <c r="M417" s="754">
        <f>IF(G417&lt;&gt;"",IF(AND(G417&gt;=$M$13,G417&lt;=$N$13),1,0),0)</f>
        <v>0</v>
      </c>
      <c r="N417" s="754"/>
      <c r="O417" s="754"/>
      <c r="P417" s="754"/>
      <c r="Q417" s="754"/>
      <c r="R417" s="754"/>
    </row>
    <row r="418" spans="2:18" s="755" customFormat="1" x14ac:dyDescent="0.2">
      <c r="B418" s="1074"/>
      <c r="C418" s="866"/>
      <c r="D418" s="866"/>
      <c r="E418" s="1075"/>
      <c r="F418" s="1076"/>
      <c r="G418" s="1077">
        <f>SUM(M413:M417)</f>
        <v>0</v>
      </c>
      <c r="H418" s="867" t="s">
        <v>283</v>
      </c>
      <c r="I418" s="820">
        <f>SUM(I413:I417)</f>
        <v>0</v>
      </c>
      <c r="J418" s="821">
        <f>SUM(J413:J417)</f>
        <v>0</v>
      </c>
      <c r="L418" s="754"/>
      <c r="M418" s="754"/>
      <c r="N418" s="754"/>
      <c r="O418" s="754"/>
      <c r="P418" s="754"/>
      <c r="Q418" s="754"/>
      <c r="R418" s="754"/>
    </row>
    <row r="419" spans="2:18" s="1155" customFormat="1" x14ac:dyDescent="0.2">
      <c r="B419" s="1152"/>
      <c r="C419" s="1153"/>
      <c r="D419" s="1153"/>
      <c r="E419" s="1153"/>
      <c r="F419" s="1152"/>
      <c r="G419" s="1152"/>
      <c r="H419" s="1153"/>
      <c r="I419" s="1154"/>
      <c r="J419" s="1154"/>
      <c r="L419" s="1156"/>
      <c r="M419" s="754"/>
      <c r="N419" s="1156"/>
      <c r="O419" s="1156"/>
      <c r="P419" s="1156"/>
      <c r="Q419" s="1156"/>
      <c r="R419" s="1156"/>
    </row>
    <row r="420" spans="2:18" s="1155" customFormat="1" x14ac:dyDescent="0.2">
      <c r="B420" s="1152"/>
      <c r="C420" s="1153"/>
      <c r="D420" s="1153"/>
      <c r="E420" s="1153"/>
      <c r="F420" s="1152"/>
      <c r="G420" s="1152"/>
      <c r="H420" s="1153"/>
      <c r="I420" s="1154"/>
      <c r="J420" s="1154"/>
      <c r="L420" s="1156"/>
      <c r="M420" s="754"/>
      <c r="N420" s="1156"/>
      <c r="O420" s="1156"/>
      <c r="P420" s="1156"/>
      <c r="Q420" s="1156"/>
      <c r="R420" s="1156"/>
    </row>
    <row r="421" spans="2:18" s="682" customFormat="1" ht="21" customHeight="1" x14ac:dyDescent="0.25">
      <c r="B421" s="710" t="s">
        <v>801</v>
      </c>
      <c r="C421" s="1157"/>
      <c r="D421" s="1157"/>
      <c r="E421" s="1157"/>
      <c r="F421" s="1157"/>
      <c r="G421" s="1157"/>
      <c r="H421" s="1158"/>
      <c r="I421" s="1159"/>
      <c r="J421" s="1160"/>
      <c r="K421" s="1161"/>
      <c r="L421" s="1162"/>
      <c r="M421" s="754"/>
      <c r="N421" s="685"/>
      <c r="O421" s="685"/>
      <c r="P421" s="685"/>
      <c r="Q421" s="685"/>
      <c r="R421" s="685"/>
    </row>
    <row r="422" spans="2:18" s="755" customFormat="1" ht="12.75" customHeight="1" x14ac:dyDescent="0.2">
      <c r="B422" s="1163"/>
      <c r="C422" s="3030" t="s">
        <v>664</v>
      </c>
      <c r="D422" s="3031"/>
      <c r="E422" s="3031"/>
      <c r="F422" s="3032"/>
      <c r="G422" s="810" t="s">
        <v>724</v>
      </c>
      <c r="H422" s="1068" t="s">
        <v>442</v>
      </c>
      <c r="I422" s="1164" t="s">
        <v>443</v>
      </c>
      <c r="J422" s="1165" t="s">
        <v>443</v>
      </c>
      <c r="L422" s="754"/>
      <c r="M422" s="754"/>
      <c r="N422" s="754"/>
      <c r="O422" s="754"/>
      <c r="P422" s="754"/>
      <c r="Q422" s="754"/>
      <c r="R422" s="754"/>
    </row>
    <row r="423" spans="2:18" s="755" customFormat="1" x14ac:dyDescent="0.2">
      <c r="B423" s="894"/>
      <c r="C423" s="3126"/>
      <c r="D423" s="3127"/>
      <c r="E423" s="3127"/>
      <c r="F423" s="1118"/>
      <c r="G423" s="1100" t="s">
        <v>1018</v>
      </c>
      <c r="H423" s="1101" t="s">
        <v>448</v>
      </c>
      <c r="I423" s="1101" t="s">
        <v>445</v>
      </c>
      <c r="J423" s="1102" t="s">
        <v>315</v>
      </c>
      <c r="L423" s="754"/>
      <c r="M423" s="754"/>
      <c r="N423" s="754"/>
      <c r="O423" s="754"/>
      <c r="P423" s="754"/>
      <c r="Q423" s="754"/>
      <c r="R423" s="754"/>
    </row>
    <row r="424" spans="2:18" s="755" customFormat="1" x14ac:dyDescent="0.2">
      <c r="B424" s="958" t="s">
        <v>547</v>
      </c>
      <c r="C424" s="3008"/>
      <c r="D424" s="3056"/>
      <c r="E424" s="3056"/>
      <c r="F424" s="3009"/>
      <c r="G424" s="1508"/>
      <c r="H424" s="1024">
        <v>60</v>
      </c>
      <c r="I424" s="960">
        <f>IF(C424&lt;&gt;"",H424,0)</f>
        <v>0</v>
      </c>
      <c r="J424" s="928">
        <f>I424/15</f>
        <v>0</v>
      </c>
      <c r="L424" s="754"/>
      <c r="M424" s="754">
        <f>IF(G424&lt;&gt;"",IF(AND(G424&gt;=$M$13,G424&lt;=$N$13),1,0),0)</f>
        <v>0</v>
      </c>
      <c r="N424" s="754"/>
      <c r="O424" s="754"/>
      <c r="P424" s="754"/>
      <c r="Q424" s="754"/>
      <c r="R424" s="754"/>
    </row>
    <row r="425" spans="2:18" s="755" customFormat="1" x14ac:dyDescent="0.2">
      <c r="B425" s="958" t="s">
        <v>548</v>
      </c>
      <c r="C425" s="3008"/>
      <c r="D425" s="3056"/>
      <c r="E425" s="3056"/>
      <c r="F425" s="3009"/>
      <c r="G425" s="1508"/>
      <c r="H425" s="1024">
        <v>60</v>
      </c>
      <c r="I425" s="960">
        <f>IF(C425&lt;&gt;"",H425,0)</f>
        <v>0</v>
      </c>
      <c r="J425" s="928">
        <f>I425/15</f>
        <v>0</v>
      </c>
      <c r="L425" s="754"/>
      <c r="M425" s="754">
        <f>IF(G425&lt;&gt;"",IF(AND(G425&gt;=$M$13,G425&lt;=$N$13),1,0),0)</f>
        <v>0</v>
      </c>
      <c r="N425" s="754"/>
      <c r="O425" s="754"/>
      <c r="P425" s="754"/>
      <c r="Q425" s="754"/>
      <c r="R425" s="754"/>
    </row>
    <row r="426" spans="2:18" s="755" customFormat="1" x14ac:dyDescent="0.2">
      <c r="B426" s="958" t="s">
        <v>549</v>
      </c>
      <c r="C426" s="3008"/>
      <c r="D426" s="3056"/>
      <c r="E426" s="3056"/>
      <c r="F426" s="3009"/>
      <c r="G426" s="1508"/>
      <c r="H426" s="1024">
        <v>60</v>
      </c>
      <c r="I426" s="960">
        <f>IF(C426&lt;&gt;"",H426,0)</f>
        <v>0</v>
      </c>
      <c r="J426" s="928">
        <f>I426/15</f>
        <v>0</v>
      </c>
      <c r="L426" s="754"/>
      <c r="M426" s="754">
        <f>IF(G426&lt;&gt;"",IF(AND(G426&gt;=$M$13,G426&lt;=$N$13),1,0),0)</f>
        <v>0</v>
      </c>
      <c r="N426" s="754"/>
      <c r="O426" s="754"/>
      <c r="P426" s="754"/>
      <c r="Q426" s="754"/>
      <c r="R426" s="754"/>
    </row>
    <row r="427" spans="2:18" s="755" customFormat="1" x14ac:dyDescent="0.2">
      <c r="B427" s="958" t="s">
        <v>550</v>
      </c>
      <c r="C427" s="3008"/>
      <c r="D427" s="3056"/>
      <c r="E427" s="3056"/>
      <c r="F427" s="3009"/>
      <c r="G427" s="1508"/>
      <c r="H427" s="1024">
        <v>60</v>
      </c>
      <c r="I427" s="960">
        <f>IF(C427&lt;&gt;"",H427,0)</f>
        <v>0</v>
      </c>
      <c r="J427" s="928">
        <f>I427/15</f>
        <v>0</v>
      </c>
      <c r="L427" s="754"/>
      <c r="M427" s="754">
        <f>IF(G427&lt;&gt;"",IF(AND(G427&gt;=$M$13,G427&lt;=$N$13),1,0),0)</f>
        <v>0</v>
      </c>
      <c r="N427" s="754"/>
      <c r="O427" s="754"/>
      <c r="P427" s="754"/>
      <c r="Q427" s="754"/>
      <c r="R427" s="754"/>
    </row>
    <row r="428" spans="2:18" s="755" customFormat="1" x14ac:dyDescent="0.2">
      <c r="B428" s="958" t="s">
        <v>551</v>
      </c>
      <c r="C428" s="3008"/>
      <c r="D428" s="3056"/>
      <c r="E428" s="3056"/>
      <c r="F428" s="3009"/>
      <c r="G428" s="1508"/>
      <c r="H428" s="1024">
        <v>60</v>
      </c>
      <c r="I428" s="960">
        <f>IF(C428&lt;&gt;"",H428,0)</f>
        <v>0</v>
      </c>
      <c r="J428" s="928">
        <f>I428/15</f>
        <v>0</v>
      </c>
      <c r="L428" s="754"/>
      <c r="M428" s="754">
        <f>IF(G428&lt;&gt;"",IF(AND(G428&gt;=$M$13,G428&lt;=$N$13),1,0),0)</f>
        <v>0</v>
      </c>
      <c r="N428" s="754"/>
      <c r="O428" s="754"/>
      <c r="P428" s="754"/>
      <c r="Q428" s="754"/>
      <c r="R428" s="754"/>
    </row>
    <row r="429" spans="2:18" s="755" customFormat="1" x14ac:dyDescent="0.2">
      <c r="B429" s="1074"/>
      <c r="C429" s="866"/>
      <c r="D429" s="866"/>
      <c r="E429" s="1075"/>
      <c r="F429" s="1076"/>
      <c r="G429" s="1077">
        <f>SUM(M424:M428)</f>
        <v>0</v>
      </c>
      <c r="H429" s="867" t="s">
        <v>283</v>
      </c>
      <c r="I429" s="820">
        <f>SUM(I424:I428)</f>
        <v>0</v>
      </c>
      <c r="J429" s="821">
        <f>SUM(J424:J428)</f>
        <v>0</v>
      </c>
      <c r="L429" s="754"/>
      <c r="M429" s="754"/>
      <c r="N429" s="754"/>
      <c r="O429" s="754"/>
      <c r="P429" s="754"/>
      <c r="Q429" s="754"/>
      <c r="R429" s="754"/>
    </row>
    <row r="430" spans="2:18" s="872" customFormat="1" ht="10.5" customHeight="1" x14ac:dyDescent="0.2">
      <c r="B430" s="873"/>
      <c r="C430" s="874"/>
      <c r="D430" s="874"/>
      <c r="E430" s="874"/>
      <c r="F430" s="1166"/>
      <c r="G430" s="1166"/>
      <c r="H430" s="876"/>
      <c r="I430" s="877"/>
      <c r="J430" s="877"/>
      <c r="L430" s="1103"/>
      <c r="M430" s="754"/>
      <c r="N430" s="1103"/>
      <c r="O430" s="1103"/>
      <c r="P430" s="1103"/>
      <c r="Q430" s="1103"/>
      <c r="R430" s="1103"/>
    </row>
    <row r="431" spans="2:18" s="872" customFormat="1" ht="9.75" customHeight="1" x14ac:dyDescent="0.2">
      <c r="B431" s="1084"/>
      <c r="C431" s="1085"/>
      <c r="D431" s="1085"/>
      <c r="E431" s="1085"/>
      <c r="F431" s="1087"/>
      <c r="G431" s="1087"/>
      <c r="H431" s="1167"/>
      <c r="I431" s="1089"/>
      <c r="J431" s="1089"/>
      <c r="L431" s="1103"/>
      <c r="M431" s="754"/>
      <c r="N431" s="1103"/>
      <c r="O431" s="1103"/>
      <c r="P431" s="1103"/>
      <c r="Q431" s="1103"/>
      <c r="R431" s="1103"/>
    </row>
    <row r="432" spans="2:18" s="682" customFormat="1" ht="21" customHeight="1" x14ac:dyDescent="0.25">
      <c r="B432" s="710" t="s">
        <v>802</v>
      </c>
      <c r="C432" s="1066"/>
      <c r="D432" s="1066"/>
      <c r="E432" s="712"/>
      <c r="F432" s="714"/>
      <c r="G432" s="714"/>
      <c r="H432" s="714"/>
      <c r="I432" s="714"/>
      <c r="J432" s="1067"/>
      <c r="L432" s="685"/>
      <c r="M432" s="754"/>
      <c r="N432" s="685"/>
      <c r="O432" s="685"/>
      <c r="P432" s="685"/>
      <c r="Q432" s="685"/>
      <c r="R432" s="685"/>
    </row>
    <row r="433" spans="1:18" s="736" customFormat="1" x14ac:dyDescent="0.2">
      <c r="B433" s="809"/>
      <c r="C433" s="3030" t="s">
        <v>803</v>
      </c>
      <c r="D433" s="3031"/>
      <c r="E433" s="3032"/>
      <c r="F433" s="1003" t="s">
        <v>563</v>
      </c>
      <c r="G433" s="810" t="s">
        <v>724</v>
      </c>
      <c r="H433" s="1068" t="s">
        <v>442</v>
      </c>
      <c r="I433" s="1069" t="s">
        <v>443</v>
      </c>
      <c r="J433" s="1070" t="s">
        <v>443</v>
      </c>
      <c r="L433" s="734"/>
      <c r="M433" s="754"/>
      <c r="N433" s="734"/>
      <c r="O433" s="734"/>
      <c r="P433" s="734"/>
      <c r="Q433" s="734"/>
      <c r="R433" s="734"/>
    </row>
    <row r="434" spans="1:18" s="747" customFormat="1" x14ac:dyDescent="0.2">
      <c r="B434" s="737"/>
      <c r="C434" s="738"/>
      <c r="D434" s="1071"/>
      <c r="E434" s="1113"/>
      <c r="F434" s="739" t="s">
        <v>804</v>
      </c>
      <c r="G434" s="1100" t="s">
        <v>1018</v>
      </c>
      <c r="H434" s="1101" t="s">
        <v>448</v>
      </c>
      <c r="I434" s="858" t="s">
        <v>445</v>
      </c>
      <c r="J434" s="859" t="s">
        <v>315</v>
      </c>
      <c r="L434" s="745"/>
      <c r="M434" s="754"/>
      <c r="N434" s="745"/>
      <c r="O434" s="745"/>
      <c r="P434" s="745"/>
      <c r="Q434" s="745"/>
      <c r="R434" s="745"/>
    </row>
    <row r="435" spans="1:18" s="755" customFormat="1" x14ac:dyDescent="0.2">
      <c r="B435" s="958" t="s">
        <v>547</v>
      </c>
      <c r="C435" s="3008"/>
      <c r="D435" s="3056"/>
      <c r="E435" s="3009"/>
      <c r="F435" s="1090"/>
      <c r="G435" s="1510"/>
      <c r="H435" s="960">
        <v>0.33</v>
      </c>
      <c r="I435" s="960">
        <f>F435*H435</f>
        <v>0</v>
      </c>
      <c r="J435" s="928">
        <f>I435/15</f>
        <v>0</v>
      </c>
      <c r="L435" s="754"/>
      <c r="M435" s="754">
        <f>IF(G435&lt;&gt;"",IF(AND(G435&gt;=$M$13,G435&lt;=$N$13),1,0),0)</f>
        <v>0</v>
      </c>
      <c r="N435" s="754"/>
      <c r="O435" s="754"/>
      <c r="P435" s="754"/>
      <c r="Q435" s="754"/>
      <c r="R435" s="754"/>
    </row>
    <row r="436" spans="1:18" s="755" customFormat="1" x14ac:dyDescent="0.2">
      <c r="B436" s="958" t="s">
        <v>548</v>
      </c>
      <c r="C436" s="3008"/>
      <c r="D436" s="3056"/>
      <c r="E436" s="3009"/>
      <c r="F436" s="1090"/>
      <c r="G436" s="1510"/>
      <c r="H436" s="960">
        <v>0.33</v>
      </c>
      <c r="I436" s="960">
        <f>F436*H436</f>
        <v>0</v>
      </c>
      <c r="J436" s="928">
        <f>I436/15</f>
        <v>0</v>
      </c>
      <c r="L436" s="754"/>
      <c r="M436" s="754">
        <f>IF(G436&lt;&gt;"",IF(AND(G436&gt;=$M$13,G436&lt;=$N$13),1,0),0)</f>
        <v>0</v>
      </c>
      <c r="N436" s="754"/>
      <c r="O436" s="754"/>
      <c r="P436" s="754"/>
      <c r="Q436" s="754"/>
      <c r="R436" s="754"/>
    </row>
    <row r="437" spans="1:18" s="755" customFormat="1" x14ac:dyDescent="0.2">
      <c r="B437" s="958" t="s">
        <v>549</v>
      </c>
      <c r="C437" s="3008"/>
      <c r="D437" s="3056"/>
      <c r="E437" s="3009"/>
      <c r="F437" s="1090"/>
      <c r="G437" s="1510"/>
      <c r="H437" s="960">
        <v>0.33</v>
      </c>
      <c r="I437" s="960">
        <f>F437*H437</f>
        <v>0</v>
      </c>
      <c r="J437" s="928">
        <f>I437/15</f>
        <v>0</v>
      </c>
      <c r="L437" s="754"/>
      <c r="M437" s="754">
        <f>IF(G437&lt;&gt;"",IF(AND(G437&gt;=$M$13,G437&lt;=$N$13),1,0),0)</f>
        <v>0</v>
      </c>
      <c r="N437" s="754"/>
      <c r="O437" s="754"/>
      <c r="P437" s="754"/>
      <c r="Q437" s="754"/>
      <c r="R437" s="754"/>
    </row>
    <row r="438" spans="1:18" s="755" customFormat="1" x14ac:dyDescent="0.2">
      <c r="B438" s="958" t="s">
        <v>550</v>
      </c>
      <c r="C438" s="3008"/>
      <c r="D438" s="3056"/>
      <c r="E438" s="3009"/>
      <c r="F438" s="1090"/>
      <c r="G438" s="1510"/>
      <c r="H438" s="960">
        <v>0.33</v>
      </c>
      <c r="I438" s="960">
        <f>F438*H438</f>
        <v>0</v>
      </c>
      <c r="J438" s="928">
        <f>I438/15</f>
        <v>0</v>
      </c>
      <c r="L438" s="754"/>
      <c r="M438" s="754">
        <f>IF(G438&lt;&gt;"",IF(AND(G438&gt;=$M$13,G438&lt;=$N$13),1,0),0)</f>
        <v>0</v>
      </c>
      <c r="N438" s="754"/>
      <c r="O438" s="754"/>
      <c r="P438" s="754"/>
      <c r="Q438" s="754"/>
      <c r="R438" s="754"/>
    </row>
    <row r="439" spans="1:18" s="755" customFormat="1" x14ac:dyDescent="0.2">
      <c r="B439" s="958" t="s">
        <v>551</v>
      </c>
      <c r="C439" s="3008"/>
      <c r="D439" s="3056"/>
      <c r="E439" s="3009"/>
      <c r="F439" s="1090"/>
      <c r="G439" s="1510"/>
      <c r="H439" s="960">
        <v>0.33</v>
      </c>
      <c r="I439" s="960">
        <f>F439*H439</f>
        <v>0</v>
      </c>
      <c r="J439" s="928">
        <f>I439/15</f>
        <v>0</v>
      </c>
      <c r="L439" s="754"/>
      <c r="M439" s="754">
        <f>IF(G439&lt;&gt;"",IF(AND(G439&gt;=$M$13,G439&lt;=$N$13),1,0),0)</f>
        <v>0</v>
      </c>
      <c r="N439" s="754"/>
      <c r="O439" s="754"/>
      <c r="P439" s="754"/>
      <c r="Q439" s="754"/>
      <c r="R439" s="754"/>
    </row>
    <row r="440" spans="1:18" s="755" customFormat="1" x14ac:dyDescent="0.2">
      <c r="B440" s="1074"/>
      <c r="C440" s="866"/>
      <c r="D440" s="866"/>
      <c r="E440" s="1075"/>
      <c r="F440" s="1076"/>
      <c r="G440" s="1077">
        <f>SUM(M435:M439)</f>
        <v>0</v>
      </c>
      <c r="H440" s="867" t="s">
        <v>283</v>
      </c>
      <c r="I440" s="820">
        <f>SUM(I435:I439)</f>
        <v>0</v>
      </c>
      <c r="J440" s="821">
        <f>SUM(J435:J439)</f>
        <v>0</v>
      </c>
      <c r="L440" s="754"/>
      <c r="M440" s="754"/>
      <c r="N440" s="754"/>
      <c r="O440" s="754"/>
      <c r="P440" s="754"/>
      <c r="Q440" s="754"/>
      <c r="R440" s="754"/>
    </row>
    <row r="441" spans="1:18" s="842" customFormat="1" ht="9.75" customHeight="1" x14ac:dyDescent="0.2">
      <c r="B441" s="1034"/>
      <c r="C441" s="1096"/>
      <c r="D441" s="1096"/>
      <c r="E441" s="1096"/>
      <c r="F441" s="1034"/>
      <c r="G441" s="1034"/>
      <c r="H441" s="1096"/>
      <c r="I441" s="1097"/>
      <c r="J441" s="1097"/>
      <c r="L441" s="840"/>
      <c r="M441" s="754"/>
      <c r="N441" s="840"/>
      <c r="O441" s="840"/>
      <c r="P441" s="840"/>
      <c r="Q441" s="840"/>
      <c r="R441" s="840"/>
    </row>
    <row r="442" spans="1:18" s="872" customFormat="1" ht="10.5" customHeight="1" x14ac:dyDescent="0.2">
      <c r="B442" s="1382"/>
      <c r="C442" s="1096"/>
      <c r="D442" s="1096"/>
      <c r="E442" s="1034"/>
      <c r="F442" s="1034"/>
      <c r="G442" s="1096"/>
      <c r="H442" s="1097"/>
      <c r="I442" s="1097"/>
      <c r="K442" s="1103"/>
      <c r="L442" s="900"/>
      <c r="M442" s="1103"/>
      <c r="N442" s="1103"/>
      <c r="O442" s="1103"/>
      <c r="P442" s="1103"/>
      <c r="Q442" s="1103"/>
    </row>
    <row r="443" spans="1:18" s="682" customFormat="1" ht="21" customHeight="1" x14ac:dyDescent="0.25">
      <c r="A443" s="1296"/>
      <c r="B443" s="710" t="s">
        <v>1003</v>
      </c>
      <c r="C443" s="1417"/>
      <c r="D443" s="1417"/>
      <c r="E443" s="1418"/>
      <c r="F443" s="1419"/>
      <c r="G443" s="1419"/>
      <c r="H443" s="1419"/>
      <c r="I443" s="1419"/>
      <c r="J443" s="1420"/>
      <c r="K443" s="1298"/>
      <c r="L443" s="685"/>
      <c r="M443" s="754"/>
      <c r="N443" s="685"/>
      <c r="O443" s="685"/>
      <c r="P443" s="1162"/>
      <c r="Q443" s="1162"/>
      <c r="R443" s="685"/>
    </row>
    <row r="444" spans="1:18" s="736" customFormat="1" x14ac:dyDescent="0.2">
      <c r="B444" s="809"/>
      <c r="C444" s="1414" t="s">
        <v>12</v>
      </c>
      <c r="D444" s="1003" t="s">
        <v>710</v>
      </c>
      <c r="E444" s="810" t="s">
        <v>563</v>
      </c>
      <c r="F444" s="1109" t="s">
        <v>805</v>
      </c>
      <c r="G444" s="1109" t="s">
        <v>806</v>
      </c>
      <c r="H444" s="1068" t="s">
        <v>442</v>
      </c>
      <c r="I444" s="1069" t="s">
        <v>443</v>
      </c>
      <c r="J444" s="1070" t="s">
        <v>443</v>
      </c>
      <c r="L444" s="734"/>
      <c r="M444" s="734"/>
      <c r="N444" s="734"/>
      <c r="O444" s="734"/>
      <c r="P444" s="734"/>
      <c r="Q444" s="734"/>
      <c r="R444" s="734"/>
    </row>
    <row r="445" spans="1:18" s="747" customFormat="1" x14ac:dyDescent="0.2">
      <c r="B445" s="737"/>
      <c r="C445" s="1416"/>
      <c r="D445" s="739"/>
      <c r="E445" s="739" t="s">
        <v>1001</v>
      </c>
      <c r="F445" s="1072" t="s">
        <v>1018</v>
      </c>
      <c r="G445" s="1072" t="s">
        <v>1018</v>
      </c>
      <c r="H445" s="858" t="s">
        <v>448</v>
      </c>
      <c r="I445" s="858" t="s">
        <v>445</v>
      </c>
      <c r="J445" s="859" t="s">
        <v>315</v>
      </c>
      <c r="L445" s="745"/>
      <c r="M445" s="745"/>
      <c r="N445" s="745"/>
      <c r="O445" s="745"/>
      <c r="P445" s="745"/>
      <c r="Q445" s="745"/>
      <c r="R445" s="745"/>
    </row>
    <row r="446" spans="1:18" s="755" customFormat="1" x14ac:dyDescent="0.2">
      <c r="B446" s="958" t="s">
        <v>547</v>
      </c>
      <c r="C446" s="1413"/>
      <c r="D446" s="1090"/>
      <c r="E446" s="1090"/>
      <c r="F446" s="1510"/>
      <c r="G446" s="1510"/>
      <c r="H446" s="1073">
        <v>3</v>
      </c>
      <c r="I446" s="960">
        <f>D446*E446*H446</f>
        <v>0</v>
      </c>
      <c r="J446" s="928">
        <f>I446/15</f>
        <v>0</v>
      </c>
      <c r="L446" s="754"/>
      <c r="M446" s="754">
        <f>IF(F446&lt;&gt;"",IF(F446&lt;$M$13,0,1),0)</f>
        <v>0</v>
      </c>
      <c r="N446" s="754">
        <f>IF(G446&lt;&gt;"",IF(G446&gt;$N$13,1,IF(G446&gt;=$M$13,1,0)),0)</f>
        <v>0</v>
      </c>
      <c r="O446" s="754">
        <f>IF(OR(M446=1,N446=1),1,0)</f>
        <v>0</v>
      </c>
      <c r="P446" s="754"/>
      <c r="Q446" s="754"/>
      <c r="R446" s="754"/>
    </row>
    <row r="447" spans="1:18" s="755" customFormat="1" x14ac:dyDescent="0.2">
      <c r="B447" s="958" t="s">
        <v>548</v>
      </c>
      <c r="C447" s="1413"/>
      <c r="D447" s="1090"/>
      <c r="E447" s="1090"/>
      <c r="F447" s="1510"/>
      <c r="G447" s="1510"/>
      <c r="H447" s="1073">
        <v>3</v>
      </c>
      <c r="I447" s="960">
        <f>D447*E447*H447</f>
        <v>0</v>
      </c>
      <c r="J447" s="928">
        <f>I447/15</f>
        <v>0</v>
      </c>
      <c r="L447" s="754"/>
      <c r="M447" s="754">
        <f t="shared" ref="M447:M450" si="72">IF(F447&lt;&gt;"",IF(F447&lt;$M$13,0,1),0)</f>
        <v>0</v>
      </c>
      <c r="N447" s="754">
        <f t="shared" ref="N447:N450" si="73">IF(G447&lt;&gt;"",IF(G447&gt;$N$13,1,IF(G447&gt;=$M$13,1,0)),0)</f>
        <v>0</v>
      </c>
      <c r="O447" s="754">
        <f t="shared" ref="O447:O450" si="74">IF(OR(M447=1,N447=1),1,0)</f>
        <v>0</v>
      </c>
      <c r="P447" s="754"/>
      <c r="Q447" s="754"/>
      <c r="R447" s="754"/>
    </row>
    <row r="448" spans="1:18" s="755" customFormat="1" x14ac:dyDescent="0.2">
      <c r="B448" s="958" t="s">
        <v>549</v>
      </c>
      <c r="C448" s="1413"/>
      <c r="D448" s="1090"/>
      <c r="E448" s="1090"/>
      <c r="F448" s="1510"/>
      <c r="G448" s="1510"/>
      <c r="H448" s="1073">
        <v>3</v>
      </c>
      <c r="I448" s="960">
        <f t="shared" ref="I448:I450" si="75">D448*E448*H448</f>
        <v>0</v>
      </c>
      <c r="J448" s="928">
        <f>I448/15</f>
        <v>0</v>
      </c>
      <c r="L448" s="754"/>
      <c r="M448" s="754">
        <f t="shared" si="72"/>
        <v>0</v>
      </c>
      <c r="N448" s="754">
        <f t="shared" si="73"/>
        <v>0</v>
      </c>
      <c r="O448" s="754">
        <f t="shared" si="74"/>
        <v>0</v>
      </c>
      <c r="P448" s="754"/>
      <c r="Q448" s="754"/>
      <c r="R448" s="754"/>
    </row>
    <row r="449" spans="1:18" s="755" customFormat="1" x14ac:dyDescent="0.2">
      <c r="B449" s="958" t="s">
        <v>550</v>
      </c>
      <c r="C449" s="1413"/>
      <c r="D449" s="1090"/>
      <c r="E449" s="1090"/>
      <c r="F449" s="1510"/>
      <c r="G449" s="1510"/>
      <c r="H449" s="1073">
        <v>3</v>
      </c>
      <c r="I449" s="960">
        <f t="shared" si="75"/>
        <v>0</v>
      </c>
      <c r="J449" s="928">
        <f>I449/15</f>
        <v>0</v>
      </c>
      <c r="L449" s="754"/>
      <c r="M449" s="754">
        <f t="shared" si="72"/>
        <v>0</v>
      </c>
      <c r="N449" s="754">
        <f t="shared" si="73"/>
        <v>0</v>
      </c>
      <c r="O449" s="754">
        <f t="shared" si="74"/>
        <v>0</v>
      </c>
      <c r="P449" s="754"/>
      <c r="Q449" s="754"/>
      <c r="R449" s="754"/>
    </row>
    <row r="450" spans="1:18" s="755" customFormat="1" x14ac:dyDescent="0.2">
      <c r="B450" s="958" t="s">
        <v>551</v>
      </c>
      <c r="C450" s="1413"/>
      <c r="D450" s="1090"/>
      <c r="E450" s="1090"/>
      <c r="F450" s="1510"/>
      <c r="G450" s="1510"/>
      <c r="H450" s="1073">
        <v>3</v>
      </c>
      <c r="I450" s="960">
        <f t="shared" si="75"/>
        <v>0</v>
      </c>
      <c r="J450" s="928">
        <f>I450/15</f>
        <v>0</v>
      </c>
      <c r="L450" s="754"/>
      <c r="M450" s="754">
        <f t="shared" si="72"/>
        <v>0</v>
      </c>
      <c r="N450" s="754">
        <f t="shared" si="73"/>
        <v>0</v>
      </c>
      <c r="O450" s="754">
        <f t="shared" si="74"/>
        <v>0</v>
      </c>
      <c r="P450" s="754"/>
      <c r="Q450" s="754"/>
      <c r="R450" s="754"/>
    </row>
    <row r="451" spans="1:18" s="755" customFormat="1" x14ac:dyDescent="0.2">
      <c r="B451" s="1074"/>
      <c r="C451" s="866"/>
      <c r="D451" s="866"/>
      <c r="E451" s="1075"/>
      <c r="F451" s="1076"/>
      <c r="G451" s="1077">
        <f>SUM(O446:O450)</f>
        <v>0</v>
      </c>
      <c r="H451" s="867" t="s">
        <v>283</v>
      </c>
      <c r="I451" s="820">
        <f>SUM(I446:I450)</f>
        <v>0</v>
      </c>
      <c r="J451" s="821">
        <f>SUM(J446:J450)</f>
        <v>0</v>
      </c>
      <c r="L451" s="754"/>
      <c r="M451" s="754"/>
      <c r="N451" s="754"/>
      <c r="O451" s="754"/>
      <c r="P451" s="754"/>
      <c r="Q451" s="754"/>
      <c r="R451" s="754"/>
    </row>
    <row r="452" spans="1:18" s="842" customFormat="1" ht="10.5" customHeight="1" x14ac:dyDescent="0.2">
      <c r="A452" s="1297"/>
      <c r="B452" s="1034"/>
      <c r="C452" s="1096"/>
      <c r="D452" s="1096"/>
      <c r="E452" s="1096"/>
      <c r="F452" s="1034"/>
      <c r="G452" s="1034"/>
      <c r="H452" s="1096"/>
      <c r="I452" s="1097"/>
      <c r="J452" s="1097"/>
      <c r="K452" s="872"/>
      <c r="L452" s="840"/>
      <c r="M452" s="754"/>
      <c r="N452" s="840"/>
      <c r="O452" s="840"/>
      <c r="P452" s="1103"/>
      <c r="Q452" s="1103"/>
      <c r="R452" s="840"/>
    </row>
    <row r="453" spans="1:18" s="842" customFormat="1" x14ac:dyDescent="0.2">
      <c r="B453" s="1168"/>
      <c r="C453" s="1169"/>
      <c r="D453" s="1169"/>
      <c r="E453" s="1168"/>
      <c r="F453" s="1168"/>
      <c r="G453" s="1169"/>
      <c r="H453" s="1170"/>
      <c r="I453" s="1170"/>
      <c r="K453" s="1103"/>
      <c r="L453" s="754"/>
      <c r="M453" s="840"/>
      <c r="N453" s="840"/>
      <c r="O453" s="840"/>
      <c r="P453" s="1103"/>
      <c r="Q453" s="1103"/>
    </row>
    <row r="454" spans="1:18" s="682" customFormat="1" ht="21" customHeight="1" x14ac:dyDescent="0.25">
      <c r="B454" s="710" t="s">
        <v>990</v>
      </c>
      <c r="C454" s="1066"/>
      <c r="D454" s="1066"/>
      <c r="E454" s="712"/>
      <c r="F454" s="714"/>
      <c r="G454" s="714"/>
      <c r="H454" s="714"/>
      <c r="I454" s="714"/>
      <c r="J454" s="1067"/>
      <c r="L454" s="685"/>
      <c r="M454" s="754"/>
      <c r="N454" s="685"/>
      <c r="O454" s="685"/>
      <c r="P454" s="1162"/>
      <c r="Q454" s="1162"/>
      <c r="R454" s="685"/>
    </row>
    <row r="455" spans="1:18" s="736" customFormat="1" x14ac:dyDescent="0.2">
      <c r="B455" s="809"/>
      <c r="C455" s="3030" t="s">
        <v>12</v>
      </c>
      <c r="D455" s="3031"/>
      <c r="E455" s="3032"/>
      <c r="F455" s="1003" t="s">
        <v>563</v>
      </c>
      <c r="G455" s="810" t="s">
        <v>724</v>
      </c>
      <c r="H455" s="1068" t="s">
        <v>442</v>
      </c>
      <c r="I455" s="1069" t="s">
        <v>443</v>
      </c>
      <c r="J455" s="1070" t="s">
        <v>443</v>
      </c>
      <c r="L455" s="734"/>
      <c r="M455" s="754"/>
      <c r="N455" s="734"/>
      <c r="O455" s="734"/>
      <c r="P455" s="1391"/>
      <c r="Q455" s="1391"/>
      <c r="R455" s="734"/>
    </row>
    <row r="456" spans="1:18" s="747" customFormat="1" x14ac:dyDescent="0.2">
      <c r="B456" s="737"/>
      <c r="C456" s="738"/>
      <c r="D456" s="1071"/>
      <c r="E456" s="1113"/>
      <c r="F456" s="739" t="s">
        <v>800</v>
      </c>
      <c r="G456" s="1100" t="s">
        <v>1018</v>
      </c>
      <c r="H456" s="1101" t="s">
        <v>448</v>
      </c>
      <c r="I456" s="858" t="s">
        <v>445</v>
      </c>
      <c r="J456" s="859" t="s">
        <v>315</v>
      </c>
      <c r="L456" s="745"/>
      <c r="M456" s="754"/>
      <c r="N456" s="745"/>
      <c r="O456" s="745"/>
      <c r="P456" s="745"/>
      <c r="Q456" s="745"/>
      <c r="R456" s="745"/>
    </row>
    <row r="457" spans="1:18" s="755" customFormat="1" x14ac:dyDescent="0.2">
      <c r="B457" s="958" t="s">
        <v>547</v>
      </c>
      <c r="C457" s="3008"/>
      <c r="D457" s="3056"/>
      <c r="E457" s="3009"/>
      <c r="F457" s="1090"/>
      <c r="G457" s="1510"/>
      <c r="H457" s="1073">
        <v>1</v>
      </c>
      <c r="I457" s="960">
        <f>F457*H457</f>
        <v>0</v>
      </c>
      <c r="J457" s="928">
        <f>I457/15</f>
        <v>0</v>
      </c>
      <c r="L457" s="754"/>
      <c r="M457" s="754">
        <f>IF(G457&lt;&gt;"",IF(AND(G457&gt;=$M$13,G457&lt;=$N$13),1,0),0)</f>
        <v>0</v>
      </c>
      <c r="N457" s="754"/>
      <c r="O457" s="754"/>
      <c r="P457" s="754"/>
      <c r="Q457" s="754"/>
      <c r="R457" s="754"/>
    </row>
    <row r="458" spans="1:18" s="755" customFormat="1" x14ac:dyDescent="0.2">
      <c r="B458" s="958" t="s">
        <v>548</v>
      </c>
      <c r="C458" s="3008"/>
      <c r="D458" s="3056"/>
      <c r="E458" s="3009"/>
      <c r="F458" s="1090"/>
      <c r="G458" s="1510"/>
      <c r="H458" s="1073">
        <v>1</v>
      </c>
      <c r="I458" s="960">
        <f>F458*H458</f>
        <v>0</v>
      </c>
      <c r="J458" s="928">
        <f>I458/15</f>
        <v>0</v>
      </c>
      <c r="L458" s="754"/>
      <c r="M458" s="754">
        <f>IF(G458&lt;&gt;"",IF(AND(G458&gt;=$M$13,G458&lt;=$N$13),1,0),0)</f>
        <v>0</v>
      </c>
      <c r="N458" s="754"/>
      <c r="O458" s="754"/>
      <c r="P458" s="754"/>
      <c r="Q458" s="754"/>
      <c r="R458" s="754"/>
    </row>
    <row r="459" spans="1:18" s="755" customFormat="1" x14ac:dyDescent="0.2">
      <c r="B459" s="958" t="s">
        <v>549</v>
      </c>
      <c r="C459" s="3008"/>
      <c r="D459" s="3056"/>
      <c r="E459" s="3009"/>
      <c r="F459" s="1090"/>
      <c r="G459" s="1510"/>
      <c r="H459" s="1073">
        <v>1</v>
      </c>
      <c r="I459" s="960">
        <f>F459*H459</f>
        <v>0</v>
      </c>
      <c r="J459" s="928">
        <f>I459/15</f>
        <v>0</v>
      </c>
      <c r="L459" s="754"/>
      <c r="M459" s="754">
        <f>IF(G459&lt;&gt;"",IF(AND(G459&gt;=$M$13,G459&lt;=$N$13),1,0),0)</f>
        <v>0</v>
      </c>
      <c r="N459" s="754"/>
      <c r="O459" s="754"/>
      <c r="P459" s="754"/>
      <c r="Q459" s="754"/>
      <c r="R459" s="754"/>
    </row>
    <row r="460" spans="1:18" s="755" customFormat="1" x14ac:dyDescent="0.2">
      <c r="B460" s="958" t="s">
        <v>550</v>
      </c>
      <c r="C460" s="3008"/>
      <c r="D460" s="3056"/>
      <c r="E460" s="3009"/>
      <c r="F460" s="1090"/>
      <c r="G460" s="1510"/>
      <c r="H460" s="1073">
        <v>1</v>
      </c>
      <c r="I460" s="960">
        <f>F460*H460</f>
        <v>0</v>
      </c>
      <c r="J460" s="928">
        <f>I460/15</f>
        <v>0</v>
      </c>
      <c r="L460" s="754"/>
      <c r="M460" s="754">
        <f>IF(G460&lt;&gt;"",IF(AND(G460&gt;=$M$13,G460&lt;=$N$13),1,0),0)</f>
        <v>0</v>
      </c>
      <c r="N460" s="754"/>
      <c r="O460" s="754"/>
      <c r="P460" s="754"/>
      <c r="Q460" s="754"/>
      <c r="R460" s="754"/>
    </row>
    <row r="461" spans="1:18" s="755" customFormat="1" x14ac:dyDescent="0.2">
      <c r="B461" s="958" t="s">
        <v>551</v>
      </c>
      <c r="C461" s="3008"/>
      <c r="D461" s="3056"/>
      <c r="E461" s="3009"/>
      <c r="F461" s="1090"/>
      <c r="G461" s="1510"/>
      <c r="H461" s="1073">
        <v>1</v>
      </c>
      <c r="I461" s="960">
        <f>F461*H461</f>
        <v>0</v>
      </c>
      <c r="J461" s="928">
        <f>I461/15</f>
        <v>0</v>
      </c>
      <c r="L461" s="754"/>
      <c r="M461" s="754">
        <f>IF(G461&lt;&gt;"",IF(AND(G461&gt;=$M$13,G461&lt;=$N$13),1,0),0)</f>
        <v>0</v>
      </c>
      <c r="N461" s="754"/>
      <c r="O461" s="754"/>
      <c r="P461" s="754"/>
      <c r="Q461" s="754"/>
      <c r="R461" s="754"/>
    </row>
    <row r="462" spans="1:18" s="755" customFormat="1" ht="12" customHeight="1" x14ac:dyDescent="0.2">
      <c r="B462" s="1171"/>
      <c r="C462" s="1172"/>
      <c r="D462" s="866"/>
      <c r="E462" s="1173" t="s">
        <v>283</v>
      </c>
      <c r="F462" s="1174"/>
      <c r="G462" s="1175">
        <f>SUM(M457:M461)</f>
        <v>0</v>
      </c>
      <c r="H462" s="1174"/>
      <c r="I462" s="820">
        <f>SUM(I457:I461)</f>
        <v>0</v>
      </c>
      <c r="J462" s="821">
        <f>SUM(J457:J461)</f>
        <v>0</v>
      </c>
      <c r="L462" s="754"/>
      <c r="M462" s="754"/>
      <c r="N462" s="754"/>
      <c r="O462" s="754"/>
      <c r="P462" s="754"/>
      <c r="Q462" s="754"/>
      <c r="R462" s="754"/>
    </row>
    <row r="463" spans="1:18" s="842" customFormat="1" x14ac:dyDescent="0.2">
      <c r="B463" s="873"/>
      <c r="C463" s="874"/>
      <c r="D463" s="874"/>
      <c r="E463" s="874"/>
      <c r="F463" s="872"/>
      <c r="G463" s="872"/>
      <c r="H463" s="872"/>
      <c r="I463" s="877"/>
      <c r="J463" s="877"/>
      <c r="L463" s="840"/>
      <c r="M463" s="840"/>
      <c r="N463" s="840"/>
      <c r="O463" s="840"/>
      <c r="P463" s="840"/>
      <c r="Q463" s="840"/>
      <c r="R463" s="840"/>
    </row>
  </sheetData>
  <sheetProtection password="DED6" sheet="1" objects="1" scenarios="1" formatCells="0" formatColumns="0" formatRows="0" insertColumns="0" insertRows="0" insertHyperlinks="0"/>
  <dataConsolidate/>
  <mergeCells count="219">
    <mergeCell ref="C184:D184"/>
    <mergeCell ref="C62:D62"/>
    <mergeCell ref="C61:D61"/>
    <mergeCell ref="C60:D60"/>
    <mergeCell ref="C80:D80"/>
    <mergeCell ref="C79:D79"/>
    <mergeCell ref="C78:D78"/>
    <mergeCell ref="C77:D77"/>
    <mergeCell ref="C76:D76"/>
    <mergeCell ref="C75:D75"/>
    <mergeCell ref="C74:D74"/>
    <mergeCell ref="C102:E102"/>
    <mergeCell ref="C107:F107"/>
    <mergeCell ref="C108:E108"/>
    <mergeCell ref="C109:F109"/>
    <mergeCell ref="C110:F110"/>
    <mergeCell ref="C96:E96"/>
    <mergeCell ref="C97:E97"/>
    <mergeCell ref="C98:E98"/>
    <mergeCell ref="C99:E99"/>
    <mergeCell ref="C100:E100"/>
    <mergeCell ref="C101:E101"/>
    <mergeCell ref="C139:E139"/>
    <mergeCell ref="C140:E140"/>
    <mergeCell ref="B11:I11"/>
    <mergeCell ref="B13:J13"/>
    <mergeCell ref="B6:J6"/>
    <mergeCell ref="C7:H7"/>
    <mergeCell ref="C8:H8"/>
    <mergeCell ref="B9:B10"/>
    <mergeCell ref="C9:H9"/>
    <mergeCell ref="J9:J10"/>
    <mergeCell ref="C10:H10"/>
    <mergeCell ref="C15:E15"/>
    <mergeCell ref="C18:E18"/>
    <mergeCell ref="C17:E17"/>
    <mergeCell ref="B95:J95"/>
    <mergeCell ref="B84:J84"/>
    <mergeCell ref="C21:E21"/>
    <mergeCell ref="C20:E20"/>
    <mergeCell ref="C19:E19"/>
    <mergeCell ref="C59:D59"/>
    <mergeCell ref="C58:D58"/>
    <mergeCell ref="C69:D69"/>
    <mergeCell ref="C68:D68"/>
    <mergeCell ref="C67:D67"/>
    <mergeCell ref="C66:D66"/>
    <mergeCell ref="C65:D65"/>
    <mergeCell ref="C64:D64"/>
    <mergeCell ref="C63:D63"/>
    <mergeCell ref="C85:D85"/>
    <mergeCell ref="C91:D91"/>
    <mergeCell ref="C90:D90"/>
    <mergeCell ref="C89:D89"/>
    <mergeCell ref="C88:D88"/>
    <mergeCell ref="C87:D87"/>
    <mergeCell ref="C141:E141"/>
    <mergeCell ref="C142:E142"/>
    <mergeCell ref="C143:E143"/>
    <mergeCell ref="C144:E144"/>
    <mergeCell ref="C111:F111"/>
    <mergeCell ref="C112:F112"/>
    <mergeCell ref="C113:F113"/>
    <mergeCell ref="C134:E134"/>
    <mergeCell ref="C137:E137"/>
    <mergeCell ref="C138:E138"/>
    <mergeCell ref="C130:D130"/>
    <mergeCell ref="C129:D129"/>
    <mergeCell ref="C128:D128"/>
    <mergeCell ref="C127:D127"/>
    <mergeCell ref="C126:D126"/>
    <mergeCell ref="C125:D125"/>
    <mergeCell ref="C124:D124"/>
    <mergeCell ref="C123:D123"/>
    <mergeCell ref="C122:D122"/>
    <mergeCell ref="C121:D121"/>
    <mergeCell ref="C120:D120"/>
    <mergeCell ref="C119:D119"/>
    <mergeCell ref="C151:E151"/>
    <mergeCell ref="C152:E152"/>
    <mergeCell ref="C153:E153"/>
    <mergeCell ref="C154:E154"/>
    <mergeCell ref="C155:E155"/>
    <mergeCell ref="C156:E156"/>
    <mergeCell ref="C145:E145"/>
    <mergeCell ref="C146:E146"/>
    <mergeCell ref="C147:E147"/>
    <mergeCell ref="C148:E148"/>
    <mergeCell ref="C149:E149"/>
    <mergeCell ref="C150:E150"/>
    <mergeCell ref="C167:F167"/>
    <mergeCell ref="C168:F168"/>
    <mergeCell ref="C173:F173"/>
    <mergeCell ref="C174:E174"/>
    <mergeCell ref="C175:F175"/>
    <mergeCell ref="C162:F162"/>
    <mergeCell ref="C163:E163"/>
    <mergeCell ref="C164:F164"/>
    <mergeCell ref="C165:F165"/>
    <mergeCell ref="C166:F166"/>
    <mergeCell ref="C204:F204"/>
    <mergeCell ref="C205:F205"/>
    <mergeCell ref="C206:F206"/>
    <mergeCell ref="C207:F207"/>
    <mergeCell ref="C212:E212"/>
    <mergeCell ref="C213:E213"/>
    <mergeCell ref="C176:F176"/>
    <mergeCell ref="C177:F177"/>
    <mergeCell ref="C178:F178"/>
    <mergeCell ref="C179:F179"/>
    <mergeCell ref="C201:F201"/>
    <mergeCell ref="C203:F203"/>
    <mergeCell ref="C196:D196"/>
    <mergeCell ref="C195:D195"/>
    <mergeCell ref="C194:D194"/>
    <mergeCell ref="C193:D193"/>
    <mergeCell ref="C192:D192"/>
    <mergeCell ref="C191:D191"/>
    <mergeCell ref="C190:D190"/>
    <mergeCell ref="C189:D189"/>
    <mergeCell ref="C188:D188"/>
    <mergeCell ref="C187:D187"/>
    <mergeCell ref="C186:D186"/>
    <mergeCell ref="C185:D185"/>
    <mergeCell ref="C224:E224"/>
    <mergeCell ref="C225:F225"/>
    <mergeCell ref="C226:F226"/>
    <mergeCell ref="C227:F227"/>
    <mergeCell ref="C228:F228"/>
    <mergeCell ref="C214:E214"/>
    <mergeCell ref="C215:E215"/>
    <mergeCell ref="C216:E216"/>
    <mergeCell ref="C217:E217"/>
    <mergeCell ref="C218:E218"/>
    <mergeCell ref="C223:F223"/>
    <mergeCell ref="C239:E239"/>
    <mergeCell ref="C240:E240"/>
    <mergeCell ref="C245:E245"/>
    <mergeCell ref="C248:E248"/>
    <mergeCell ref="C249:E249"/>
    <mergeCell ref="C250:E250"/>
    <mergeCell ref="C229:F229"/>
    <mergeCell ref="C234:E234"/>
    <mergeCell ref="C235:E235"/>
    <mergeCell ref="C236:E236"/>
    <mergeCell ref="C237:E237"/>
    <mergeCell ref="C238:E238"/>
    <mergeCell ref="C257:E257"/>
    <mergeCell ref="C262:F262"/>
    <mergeCell ref="C263:E263"/>
    <mergeCell ref="C264:F264"/>
    <mergeCell ref="C265:F265"/>
    <mergeCell ref="C251:E251"/>
    <mergeCell ref="C252:E252"/>
    <mergeCell ref="C253:E253"/>
    <mergeCell ref="C254:E254"/>
    <mergeCell ref="C255:E255"/>
    <mergeCell ref="C256:E256"/>
    <mergeCell ref="C343:E343"/>
    <mergeCell ref="C348:E348"/>
    <mergeCell ref="C349:E349"/>
    <mergeCell ref="C350:E350"/>
    <mergeCell ref="C351:E351"/>
    <mergeCell ref="C352:E352"/>
    <mergeCell ref="C266:F266"/>
    <mergeCell ref="C267:F267"/>
    <mergeCell ref="C268:F268"/>
    <mergeCell ref="C340:E340"/>
    <mergeCell ref="C341:E341"/>
    <mergeCell ref="C342:E342"/>
    <mergeCell ref="C362:E362"/>
    <mergeCell ref="C363:E363"/>
    <mergeCell ref="C364:E364"/>
    <mergeCell ref="C365:E365"/>
    <mergeCell ref="B369:J369"/>
    <mergeCell ref="C370:E370"/>
    <mergeCell ref="C353:E353"/>
    <mergeCell ref="C354:E354"/>
    <mergeCell ref="B358:J358"/>
    <mergeCell ref="C359:E359"/>
    <mergeCell ref="C360:E360"/>
    <mergeCell ref="C361:E361"/>
    <mergeCell ref="C400:E400"/>
    <mergeCell ref="C402:E402"/>
    <mergeCell ref="C403:E403"/>
    <mergeCell ref="C404:E404"/>
    <mergeCell ref="C405:E405"/>
    <mergeCell ref="C406:E406"/>
    <mergeCell ref="C371:E371"/>
    <mergeCell ref="C372:E372"/>
    <mergeCell ref="C373:E373"/>
    <mergeCell ref="C374:E374"/>
    <mergeCell ref="C375:E375"/>
    <mergeCell ref="C376:E376"/>
    <mergeCell ref="C422:F422"/>
    <mergeCell ref="C423:E423"/>
    <mergeCell ref="C424:F424"/>
    <mergeCell ref="C425:F425"/>
    <mergeCell ref="C426:F426"/>
    <mergeCell ref="C411:E411"/>
    <mergeCell ref="C413:E413"/>
    <mergeCell ref="C414:E414"/>
    <mergeCell ref="C415:E415"/>
    <mergeCell ref="C416:E416"/>
    <mergeCell ref="C417:E417"/>
    <mergeCell ref="C460:E460"/>
    <mergeCell ref="C461:E461"/>
    <mergeCell ref="C438:E438"/>
    <mergeCell ref="C439:E439"/>
    <mergeCell ref="C455:E455"/>
    <mergeCell ref="C457:E457"/>
    <mergeCell ref="C458:E458"/>
    <mergeCell ref="C459:E459"/>
    <mergeCell ref="C427:F427"/>
    <mergeCell ref="C428:F428"/>
    <mergeCell ref="C433:E433"/>
    <mergeCell ref="C435:E435"/>
    <mergeCell ref="C436:E436"/>
    <mergeCell ref="C437:E437"/>
  </mergeCells>
  <dataValidations count="8">
    <dataValidation type="date" allowBlank="1" showInputMessage="1" showErrorMessage="1" errorTitle="รูปแบบวันที่ไม่ถูกต้อง" error="กรุณากรอกรูปแบบวันที่เป็น &quot;วว/ดด/ปปปป(พ.ศ.)&quot; _x000a_เช่น 25/08/2561" prompt="กรุณากรอกรูปแบบวันที่_x000a_วว/ดด/ปปปป(พ.ศ.) เช่น_x000a_25/08/2561" sqref="F276 G276" xr:uid="{00000000-0002-0000-0600-000000000000}">
      <formula1>239236</formula1>
      <formula2>245079</formula2>
    </dataValidation>
    <dataValidation type="list" allowBlank="1" showInputMessage="1" showErrorMessage="1" promptTitle="ตำแหน่งทางวิชาการ" prompt="กรุณาเลือก" sqref="E187:E196" xr:uid="{00000000-0002-0000-0600-000001000000}">
      <formula1>PositionList2</formula1>
    </dataValidation>
    <dataValidation type="list" allowBlank="1" showInputMessage="1" showErrorMessage="1" promptTitle="ระดับการเผยแพร่ลงสื่อ" prompt="กรุณาเลือก" sqref="F248:F257" xr:uid="{00000000-0002-0000-0600-000002000000}">
      <formula1>NationalList</formula1>
    </dataValidation>
    <dataValidation type="list" allowBlank="1" showInputMessage="1" showErrorMessage="1" promptTitle="ระดับการจัดฝึกอบรม" prompt="กรุณาเลือก" sqref="D277:D286 D292:D301" xr:uid="{00000000-0002-0000-0600-000003000000}">
      <formula1>PlaceList2</formula1>
    </dataValidation>
    <dataValidation type="list" allowBlank="1" showInputMessage="1" showErrorMessage="1" promptTitle="ระดับการจัดประชุม" prompt="กรุณาเลือก" sqref="D311:D320 D326:D335" xr:uid="{00000000-0002-0000-0600-000004000000}">
      <formula1>PlaceList2</formula1>
    </dataValidation>
    <dataValidation type="list" allowBlank="1" showInputMessage="1" showErrorMessage="1" promptTitle="ระดับการตีพิมพ์ในวารสาร" prompt="กรุณาเลือก" sqref="F137:F156" xr:uid="{00000000-0002-0000-0600-000005000000}">
      <formula1>NationalList</formula1>
    </dataValidation>
    <dataValidation type="list" allowBlank="1" showInputMessage="1" showErrorMessage="1" promptTitle="ระดับการนำเสนอ" prompt="กรุณาเลือก" sqref="E121:E130" xr:uid="{00000000-0002-0000-0600-000006000000}">
      <formula1>NationalList</formula1>
    </dataValidation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F17:G21 F49:G53 G60:G69 G76:G80 F87:G91 G98:G102 G109:G113 G121:G130 G137:G156 G164:G168 G175:G179 G187:G196 G203:G207 G214:G218 G225:G229 G236:G240 G248:G257 G264:G268 F277:G286 F292:G301 F311:G320 F326:G335 G342:G343 G350:G354 G361:G365 G372:G376 F385:G389 F392:G396 G402:G406 G413:G417 G424:G428 G435:G439 F446:G450 G457:G461 F28:G42" xr:uid="{00000000-0002-0000-0600-000007000000}"/>
  </dataValidations>
  <pageMargins left="0.70866141732283472" right="0.39370078740157483" top="0.59055118110236227" bottom="0.39370078740157483" header="0.19685039370078741" footer="0.19685039370078741"/>
  <pageSetup paperSize="9" scale="92" orientation="landscape" r:id="rId1"/>
  <headerFooter alignWithMargins="0">
    <oddHeader>&amp;Rส่วนที่ 3 การคำนวณภาระงานบริการวิชาการ  หน้าที่ &amp;P/&amp;N</oddHeader>
    <oddFooter>&amp;LAPS v.4.4 ข้าราชการ&amp;Cหน้าที่ &amp;P/&amp;N</oddFooter>
  </headerFooter>
  <rowBreaks count="10" manualBreakCount="10">
    <brk id="71" min="1" max="13" man="1"/>
    <brk id="104" min="1" max="13" man="1"/>
    <brk id="132" min="1" max="13" man="1"/>
    <brk id="170" min="1" max="13" man="1"/>
    <brk id="209" min="1" max="13" man="1"/>
    <brk id="242" min="1" max="13" man="1"/>
    <brk id="270" min="1" max="13" man="1"/>
    <brk id="304" min="1" max="13" man="1"/>
    <brk id="345" min="1" max="13" man="1"/>
    <brk id="378" min="1" max="13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8</xdr:col>
                    <xdr:colOff>409575</xdr:colOff>
                    <xdr:row>8</xdr:row>
                    <xdr:rowOff>95250</xdr:rowOff>
                  </from>
                  <to>
                    <xdr:col>8</xdr:col>
                    <xdr:colOff>714375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8</xdr:col>
                    <xdr:colOff>409575</xdr:colOff>
                    <xdr:row>9</xdr:row>
                    <xdr:rowOff>95250</xdr:rowOff>
                  </from>
                  <to>
                    <xdr:col>8</xdr:col>
                    <xdr:colOff>714375</xdr:colOff>
                    <xdr:row>9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29"/>
  </sheetPr>
  <dimension ref="B2:I59"/>
  <sheetViews>
    <sheetView showGridLines="0" zoomScaleNormal="100" workbookViewId="0">
      <selection activeCell="B5" sqref="B5"/>
    </sheetView>
  </sheetViews>
  <sheetFormatPr defaultRowHeight="12.75" x14ac:dyDescent="0.2"/>
  <cols>
    <col min="1" max="1" width="1.25" style="1035" customWidth="1"/>
    <col min="2" max="2" width="4.375" style="1035" customWidth="1"/>
    <col min="3" max="3" width="10.375" style="1035" customWidth="1"/>
    <col min="4" max="4" width="43.625" style="1035" customWidth="1"/>
    <col min="5" max="5" width="10.375" style="1035" customWidth="1"/>
    <col min="6" max="6" width="12" style="1035" customWidth="1"/>
    <col min="7" max="7" width="12.625" style="1035" customWidth="1"/>
    <col min="8" max="8" width="12.125" style="1035" customWidth="1"/>
    <col min="9" max="257" width="9" style="1035"/>
    <col min="258" max="258" width="4.375" style="1035" customWidth="1"/>
    <col min="259" max="259" width="10.375" style="1035" customWidth="1"/>
    <col min="260" max="260" width="34.75" style="1035" customWidth="1"/>
    <col min="261" max="261" width="10.375" style="1035" customWidth="1"/>
    <col min="262" max="262" width="12" style="1035" customWidth="1"/>
    <col min="263" max="263" width="12.625" style="1035" customWidth="1"/>
    <col min="264" max="264" width="12.125" style="1035" customWidth="1"/>
    <col min="265" max="513" width="9" style="1035"/>
    <col min="514" max="514" width="4.375" style="1035" customWidth="1"/>
    <col min="515" max="515" width="10.375" style="1035" customWidth="1"/>
    <col min="516" max="516" width="34.75" style="1035" customWidth="1"/>
    <col min="517" max="517" width="10.375" style="1035" customWidth="1"/>
    <col min="518" max="518" width="12" style="1035" customWidth="1"/>
    <col min="519" max="519" width="12.625" style="1035" customWidth="1"/>
    <col min="520" max="520" width="12.125" style="1035" customWidth="1"/>
    <col min="521" max="769" width="9" style="1035"/>
    <col min="770" max="770" width="4.375" style="1035" customWidth="1"/>
    <col min="771" max="771" width="10.375" style="1035" customWidth="1"/>
    <col min="772" max="772" width="34.75" style="1035" customWidth="1"/>
    <col min="773" max="773" width="10.375" style="1035" customWidth="1"/>
    <col min="774" max="774" width="12" style="1035" customWidth="1"/>
    <col min="775" max="775" width="12.625" style="1035" customWidth="1"/>
    <col min="776" max="776" width="12.125" style="1035" customWidth="1"/>
    <col min="777" max="1025" width="9" style="1035"/>
    <col min="1026" max="1026" width="4.375" style="1035" customWidth="1"/>
    <col min="1027" max="1027" width="10.375" style="1035" customWidth="1"/>
    <col min="1028" max="1028" width="34.75" style="1035" customWidth="1"/>
    <col min="1029" max="1029" width="10.375" style="1035" customWidth="1"/>
    <col min="1030" max="1030" width="12" style="1035" customWidth="1"/>
    <col min="1031" max="1031" width="12.625" style="1035" customWidth="1"/>
    <col min="1032" max="1032" width="12.125" style="1035" customWidth="1"/>
    <col min="1033" max="1281" width="9" style="1035"/>
    <col min="1282" max="1282" width="4.375" style="1035" customWidth="1"/>
    <col min="1283" max="1283" width="10.375" style="1035" customWidth="1"/>
    <col min="1284" max="1284" width="34.75" style="1035" customWidth="1"/>
    <col min="1285" max="1285" width="10.375" style="1035" customWidth="1"/>
    <col min="1286" max="1286" width="12" style="1035" customWidth="1"/>
    <col min="1287" max="1287" width="12.625" style="1035" customWidth="1"/>
    <col min="1288" max="1288" width="12.125" style="1035" customWidth="1"/>
    <col min="1289" max="1537" width="9" style="1035"/>
    <col min="1538" max="1538" width="4.375" style="1035" customWidth="1"/>
    <col min="1539" max="1539" width="10.375" style="1035" customWidth="1"/>
    <col min="1540" max="1540" width="34.75" style="1035" customWidth="1"/>
    <col min="1541" max="1541" width="10.375" style="1035" customWidth="1"/>
    <col min="1542" max="1542" width="12" style="1035" customWidth="1"/>
    <col min="1543" max="1543" width="12.625" style="1035" customWidth="1"/>
    <col min="1544" max="1544" width="12.125" style="1035" customWidth="1"/>
    <col min="1545" max="1793" width="9" style="1035"/>
    <col min="1794" max="1794" width="4.375" style="1035" customWidth="1"/>
    <col min="1795" max="1795" width="10.375" style="1035" customWidth="1"/>
    <col min="1796" max="1796" width="34.75" style="1035" customWidth="1"/>
    <col min="1797" max="1797" width="10.375" style="1035" customWidth="1"/>
    <col min="1798" max="1798" width="12" style="1035" customWidth="1"/>
    <col min="1799" max="1799" width="12.625" style="1035" customWidth="1"/>
    <col min="1800" max="1800" width="12.125" style="1035" customWidth="1"/>
    <col min="1801" max="2049" width="9" style="1035"/>
    <col min="2050" max="2050" width="4.375" style="1035" customWidth="1"/>
    <col min="2051" max="2051" width="10.375" style="1035" customWidth="1"/>
    <col min="2052" max="2052" width="34.75" style="1035" customWidth="1"/>
    <col min="2053" max="2053" width="10.375" style="1035" customWidth="1"/>
    <col min="2054" max="2054" width="12" style="1035" customWidth="1"/>
    <col min="2055" max="2055" width="12.625" style="1035" customWidth="1"/>
    <col min="2056" max="2056" width="12.125" style="1035" customWidth="1"/>
    <col min="2057" max="2305" width="9" style="1035"/>
    <col min="2306" max="2306" width="4.375" style="1035" customWidth="1"/>
    <col min="2307" max="2307" width="10.375" style="1035" customWidth="1"/>
    <col min="2308" max="2308" width="34.75" style="1035" customWidth="1"/>
    <col min="2309" max="2309" width="10.375" style="1035" customWidth="1"/>
    <col min="2310" max="2310" width="12" style="1035" customWidth="1"/>
    <col min="2311" max="2311" width="12.625" style="1035" customWidth="1"/>
    <col min="2312" max="2312" width="12.125" style="1035" customWidth="1"/>
    <col min="2313" max="2561" width="9" style="1035"/>
    <col min="2562" max="2562" width="4.375" style="1035" customWidth="1"/>
    <col min="2563" max="2563" width="10.375" style="1035" customWidth="1"/>
    <col min="2564" max="2564" width="34.75" style="1035" customWidth="1"/>
    <col min="2565" max="2565" width="10.375" style="1035" customWidth="1"/>
    <col min="2566" max="2566" width="12" style="1035" customWidth="1"/>
    <col min="2567" max="2567" width="12.625" style="1035" customWidth="1"/>
    <col min="2568" max="2568" width="12.125" style="1035" customWidth="1"/>
    <col min="2569" max="2817" width="9" style="1035"/>
    <col min="2818" max="2818" width="4.375" style="1035" customWidth="1"/>
    <col min="2819" max="2819" width="10.375" style="1035" customWidth="1"/>
    <col min="2820" max="2820" width="34.75" style="1035" customWidth="1"/>
    <col min="2821" max="2821" width="10.375" style="1035" customWidth="1"/>
    <col min="2822" max="2822" width="12" style="1035" customWidth="1"/>
    <col min="2823" max="2823" width="12.625" style="1035" customWidth="1"/>
    <col min="2824" max="2824" width="12.125" style="1035" customWidth="1"/>
    <col min="2825" max="3073" width="9" style="1035"/>
    <col min="3074" max="3074" width="4.375" style="1035" customWidth="1"/>
    <col min="3075" max="3075" width="10.375" style="1035" customWidth="1"/>
    <col min="3076" max="3076" width="34.75" style="1035" customWidth="1"/>
    <col min="3077" max="3077" width="10.375" style="1035" customWidth="1"/>
    <col min="3078" max="3078" width="12" style="1035" customWidth="1"/>
    <col min="3079" max="3079" width="12.625" style="1035" customWidth="1"/>
    <col min="3080" max="3080" width="12.125" style="1035" customWidth="1"/>
    <col min="3081" max="3329" width="9" style="1035"/>
    <col min="3330" max="3330" width="4.375" style="1035" customWidth="1"/>
    <col min="3331" max="3331" width="10.375" style="1035" customWidth="1"/>
    <col min="3332" max="3332" width="34.75" style="1035" customWidth="1"/>
    <col min="3333" max="3333" width="10.375" style="1035" customWidth="1"/>
    <col min="3334" max="3334" width="12" style="1035" customWidth="1"/>
    <col min="3335" max="3335" width="12.625" style="1035" customWidth="1"/>
    <col min="3336" max="3336" width="12.125" style="1035" customWidth="1"/>
    <col min="3337" max="3585" width="9" style="1035"/>
    <col min="3586" max="3586" width="4.375" style="1035" customWidth="1"/>
    <col min="3587" max="3587" width="10.375" style="1035" customWidth="1"/>
    <col min="3588" max="3588" width="34.75" style="1035" customWidth="1"/>
    <col min="3589" max="3589" width="10.375" style="1035" customWidth="1"/>
    <col min="3590" max="3590" width="12" style="1035" customWidth="1"/>
    <col min="3591" max="3591" width="12.625" style="1035" customWidth="1"/>
    <col min="3592" max="3592" width="12.125" style="1035" customWidth="1"/>
    <col min="3593" max="3841" width="9" style="1035"/>
    <col min="3842" max="3842" width="4.375" style="1035" customWidth="1"/>
    <col min="3843" max="3843" width="10.375" style="1035" customWidth="1"/>
    <col min="3844" max="3844" width="34.75" style="1035" customWidth="1"/>
    <col min="3845" max="3845" width="10.375" style="1035" customWidth="1"/>
    <col min="3846" max="3846" width="12" style="1035" customWidth="1"/>
    <col min="3847" max="3847" width="12.625" style="1035" customWidth="1"/>
    <col min="3848" max="3848" width="12.125" style="1035" customWidth="1"/>
    <col min="3849" max="4097" width="9" style="1035"/>
    <col min="4098" max="4098" width="4.375" style="1035" customWidth="1"/>
    <col min="4099" max="4099" width="10.375" style="1035" customWidth="1"/>
    <col min="4100" max="4100" width="34.75" style="1035" customWidth="1"/>
    <col min="4101" max="4101" width="10.375" style="1035" customWidth="1"/>
    <col min="4102" max="4102" width="12" style="1035" customWidth="1"/>
    <col min="4103" max="4103" width="12.625" style="1035" customWidth="1"/>
    <col min="4104" max="4104" width="12.125" style="1035" customWidth="1"/>
    <col min="4105" max="4353" width="9" style="1035"/>
    <col min="4354" max="4354" width="4.375" style="1035" customWidth="1"/>
    <col min="4355" max="4355" width="10.375" style="1035" customWidth="1"/>
    <col min="4356" max="4356" width="34.75" style="1035" customWidth="1"/>
    <col min="4357" max="4357" width="10.375" style="1035" customWidth="1"/>
    <col min="4358" max="4358" width="12" style="1035" customWidth="1"/>
    <col min="4359" max="4359" width="12.625" style="1035" customWidth="1"/>
    <col min="4360" max="4360" width="12.125" style="1035" customWidth="1"/>
    <col min="4361" max="4609" width="9" style="1035"/>
    <col min="4610" max="4610" width="4.375" style="1035" customWidth="1"/>
    <col min="4611" max="4611" width="10.375" style="1035" customWidth="1"/>
    <col min="4612" max="4612" width="34.75" style="1035" customWidth="1"/>
    <col min="4613" max="4613" width="10.375" style="1035" customWidth="1"/>
    <col min="4614" max="4614" width="12" style="1035" customWidth="1"/>
    <col min="4615" max="4615" width="12.625" style="1035" customWidth="1"/>
    <col min="4616" max="4616" width="12.125" style="1035" customWidth="1"/>
    <col min="4617" max="4865" width="9" style="1035"/>
    <col min="4866" max="4866" width="4.375" style="1035" customWidth="1"/>
    <col min="4867" max="4867" width="10.375" style="1035" customWidth="1"/>
    <col min="4868" max="4868" width="34.75" style="1035" customWidth="1"/>
    <col min="4869" max="4869" width="10.375" style="1035" customWidth="1"/>
    <col min="4870" max="4870" width="12" style="1035" customWidth="1"/>
    <col min="4871" max="4871" width="12.625" style="1035" customWidth="1"/>
    <col min="4872" max="4872" width="12.125" style="1035" customWidth="1"/>
    <col min="4873" max="5121" width="9" style="1035"/>
    <col min="5122" max="5122" width="4.375" style="1035" customWidth="1"/>
    <col min="5123" max="5123" width="10.375" style="1035" customWidth="1"/>
    <col min="5124" max="5124" width="34.75" style="1035" customWidth="1"/>
    <col min="5125" max="5125" width="10.375" style="1035" customWidth="1"/>
    <col min="5126" max="5126" width="12" style="1035" customWidth="1"/>
    <col min="5127" max="5127" width="12.625" style="1035" customWidth="1"/>
    <col min="5128" max="5128" width="12.125" style="1035" customWidth="1"/>
    <col min="5129" max="5377" width="9" style="1035"/>
    <col min="5378" max="5378" width="4.375" style="1035" customWidth="1"/>
    <col min="5379" max="5379" width="10.375" style="1035" customWidth="1"/>
    <col min="5380" max="5380" width="34.75" style="1035" customWidth="1"/>
    <col min="5381" max="5381" width="10.375" style="1035" customWidth="1"/>
    <col min="5382" max="5382" width="12" style="1035" customWidth="1"/>
    <col min="5383" max="5383" width="12.625" style="1035" customWidth="1"/>
    <col min="5384" max="5384" width="12.125" style="1035" customWidth="1"/>
    <col min="5385" max="5633" width="9" style="1035"/>
    <col min="5634" max="5634" width="4.375" style="1035" customWidth="1"/>
    <col min="5635" max="5635" width="10.375" style="1035" customWidth="1"/>
    <col min="5636" max="5636" width="34.75" style="1035" customWidth="1"/>
    <col min="5637" max="5637" width="10.375" style="1035" customWidth="1"/>
    <col min="5638" max="5638" width="12" style="1035" customWidth="1"/>
    <col min="5639" max="5639" width="12.625" style="1035" customWidth="1"/>
    <col min="5640" max="5640" width="12.125" style="1035" customWidth="1"/>
    <col min="5641" max="5889" width="9" style="1035"/>
    <col min="5890" max="5890" width="4.375" style="1035" customWidth="1"/>
    <col min="5891" max="5891" width="10.375" style="1035" customWidth="1"/>
    <col min="5892" max="5892" width="34.75" style="1035" customWidth="1"/>
    <col min="5893" max="5893" width="10.375" style="1035" customWidth="1"/>
    <col min="5894" max="5894" width="12" style="1035" customWidth="1"/>
    <col min="5895" max="5895" width="12.625" style="1035" customWidth="1"/>
    <col min="5896" max="5896" width="12.125" style="1035" customWidth="1"/>
    <col min="5897" max="6145" width="9" style="1035"/>
    <col min="6146" max="6146" width="4.375" style="1035" customWidth="1"/>
    <col min="6147" max="6147" width="10.375" style="1035" customWidth="1"/>
    <col min="6148" max="6148" width="34.75" style="1035" customWidth="1"/>
    <col min="6149" max="6149" width="10.375" style="1035" customWidth="1"/>
    <col min="6150" max="6150" width="12" style="1035" customWidth="1"/>
    <col min="6151" max="6151" width="12.625" style="1035" customWidth="1"/>
    <col min="6152" max="6152" width="12.125" style="1035" customWidth="1"/>
    <col min="6153" max="6401" width="9" style="1035"/>
    <col min="6402" max="6402" width="4.375" style="1035" customWidth="1"/>
    <col min="6403" max="6403" width="10.375" style="1035" customWidth="1"/>
    <col min="6404" max="6404" width="34.75" style="1035" customWidth="1"/>
    <col min="6405" max="6405" width="10.375" style="1035" customWidth="1"/>
    <col min="6406" max="6406" width="12" style="1035" customWidth="1"/>
    <col min="6407" max="6407" width="12.625" style="1035" customWidth="1"/>
    <col min="6408" max="6408" width="12.125" style="1035" customWidth="1"/>
    <col min="6409" max="6657" width="9" style="1035"/>
    <col min="6658" max="6658" width="4.375" style="1035" customWidth="1"/>
    <col min="6659" max="6659" width="10.375" style="1035" customWidth="1"/>
    <col min="6660" max="6660" width="34.75" style="1035" customWidth="1"/>
    <col min="6661" max="6661" width="10.375" style="1035" customWidth="1"/>
    <col min="6662" max="6662" width="12" style="1035" customWidth="1"/>
    <col min="6663" max="6663" width="12.625" style="1035" customWidth="1"/>
    <col min="6664" max="6664" width="12.125" style="1035" customWidth="1"/>
    <col min="6665" max="6913" width="9" style="1035"/>
    <col min="6914" max="6914" width="4.375" style="1035" customWidth="1"/>
    <col min="6915" max="6915" width="10.375" style="1035" customWidth="1"/>
    <col min="6916" max="6916" width="34.75" style="1035" customWidth="1"/>
    <col min="6917" max="6917" width="10.375" style="1035" customWidth="1"/>
    <col min="6918" max="6918" width="12" style="1035" customWidth="1"/>
    <col min="6919" max="6919" width="12.625" style="1035" customWidth="1"/>
    <col min="6920" max="6920" width="12.125" style="1035" customWidth="1"/>
    <col min="6921" max="7169" width="9" style="1035"/>
    <col min="7170" max="7170" width="4.375" style="1035" customWidth="1"/>
    <col min="7171" max="7171" width="10.375" style="1035" customWidth="1"/>
    <col min="7172" max="7172" width="34.75" style="1035" customWidth="1"/>
    <col min="7173" max="7173" width="10.375" style="1035" customWidth="1"/>
    <col min="7174" max="7174" width="12" style="1035" customWidth="1"/>
    <col min="7175" max="7175" width="12.625" style="1035" customWidth="1"/>
    <col min="7176" max="7176" width="12.125" style="1035" customWidth="1"/>
    <col min="7177" max="7425" width="9" style="1035"/>
    <col min="7426" max="7426" width="4.375" style="1035" customWidth="1"/>
    <col min="7427" max="7427" width="10.375" style="1035" customWidth="1"/>
    <col min="7428" max="7428" width="34.75" style="1035" customWidth="1"/>
    <col min="7429" max="7429" width="10.375" style="1035" customWidth="1"/>
    <col min="7430" max="7430" width="12" style="1035" customWidth="1"/>
    <col min="7431" max="7431" width="12.625" style="1035" customWidth="1"/>
    <col min="7432" max="7432" width="12.125" style="1035" customWidth="1"/>
    <col min="7433" max="7681" width="9" style="1035"/>
    <col min="7682" max="7682" width="4.375" style="1035" customWidth="1"/>
    <col min="7683" max="7683" width="10.375" style="1035" customWidth="1"/>
    <col min="7684" max="7684" width="34.75" style="1035" customWidth="1"/>
    <col min="7685" max="7685" width="10.375" style="1035" customWidth="1"/>
    <col min="7686" max="7686" width="12" style="1035" customWidth="1"/>
    <col min="7687" max="7687" width="12.625" style="1035" customWidth="1"/>
    <col min="7688" max="7688" width="12.125" style="1035" customWidth="1"/>
    <col min="7689" max="7937" width="9" style="1035"/>
    <col min="7938" max="7938" width="4.375" style="1035" customWidth="1"/>
    <col min="7939" max="7939" width="10.375" style="1035" customWidth="1"/>
    <col min="7940" max="7940" width="34.75" style="1035" customWidth="1"/>
    <col min="7941" max="7941" width="10.375" style="1035" customWidth="1"/>
    <col min="7942" max="7942" width="12" style="1035" customWidth="1"/>
    <col min="7943" max="7943" width="12.625" style="1035" customWidth="1"/>
    <col min="7944" max="7944" width="12.125" style="1035" customWidth="1"/>
    <col min="7945" max="8193" width="9" style="1035"/>
    <col min="8194" max="8194" width="4.375" style="1035" customWidth="1"/>
    <col min="8195" max="8195" width="10.375" style="1035" customWidth="1"/>
    <col min="8196" max="8196" width="34.75" style="1035" customWidth="1"/>
    <col min="8197" max="8197" width="10.375" style="1035" customWidth="1"/>
    <col min="8198" max="8198" width="12" style="1035" customWidth="1"/>
    <col min="8199" max="8199" width="12.625" style="1035" customWidth="1"/>
    <col min="8200" max="8200" width="12.125" style="1035" customWidth="1"/>
    <col min="8201" max="8449" width="9" style="1035"/>
    <col min="8450" max="8450" width="4.375" style="1035" customWidth="1"/>
    <col min="8451" max="8451" width="10.375" style="1035" customWidth="1"/>
    <col min="8452" max="8452" width="34.75" style="1035" customWidth="1"/>
    <col min="8453" max="8453" width="10.375" style="1035" customWidth="1"/>
    <col min="8454" max="8454" width="12" style="1035" customWidth="1"/>
    <col min="8455" max="8455" width="12.625" style="1035" customWidth="1"/>
    <col min="8456" max="8456" width="12.125" style="1035" customWidth="1"/>
    <col min="8457" max="8705" width="9" style="1035"/>
    <col min="8706" max="8706" width="4.375" style="1035" customWidth="1"/>
    <col min="8707" max="8707" width="10.375" style="1035" customWidth="1"/>
    <col min="8708" max="8708" width="34.75" style="1035" customWidth="1"/>
    <col min="8709" max="8709" width="10.375" style="1035" customWidth="1"/>
    <col min="8710" max="8710" width="12" style="1035" customWidth="1"/>
    <col min="8711" max="8711" width="12.625" style="1035" customWidth="1"/>
    <col min="8712" max="8712" width="12.125" style="1035" customWidth="1"/>
    <col min="8713" max="8961" width="9" style="1035"/>
    <col min="8962" max="8962" width="4.375" style="1035" customWidth="1"/>
    <col min="8963" max="8963" width="10.375" style="1035" customWidth="1"/>
    <col min="8964" max="8964" width="34.75" style="1035" customWidth="1"/>
    <col min="8965" max="8965" width="10.375" style="1035" customWidth="1"/>
    <col min="8966" max="8966" width="12" style="1035" customWidth="1"/>
    <col min="8967" max="8967" width="12.625" style="1035" customWidth="1"/>
    <col min="8968" max="8968" width="12.125" style="1035" customWidth="1"/>
    <col min="8969" max="9217" width="9" style="1035"/>
    <col min="9218" max="9218" width="4.375" style="1035" customWidth="1"/>
    <col min="9219" max="9219" width="10.375" style="1035" customWidth="1"/>
    <col min="9220" max="9220" width="34.75" style="1035" customWidth="1"/>
    <col min="9221" max="9221" width="10.375" style="1035" customWidth="1"/>
    <col min="9222" max="9222" width="12" style="1035" customWidth="1"/>
    <col min="9223" max="9223" width="12.625" style="1035" customWidth="1"/>
    <col min="9224" max="9224" width="12.125" style="1035" customWidth="1"/>
    <col min="9225" max="9473" width="9" style="1035"/>
    <col min="9474" max="9474" width="4.375" style="1035" customWidth="1"/>
    <col min="9475" max="9475" width="10.375" style="1035" customWidth="1"/>
    <col min="9476" max="9476" width="34.75" style="1035" customWidth="1"/>
    <col min="9477" max="9477" width="10.375" style="1035" customWidth="1"/>
    <col min="9478" max="9478" width="12" style="1035" customWidth="1"/>
    <col min="9479" max="9479" width="12.625" style="1035" customWidth="1"/>
    <col min="9480" max="9480" width="12.125" style="1035" customWidth="1"/>
    <col min="9481" max="9729" width="9" style="1035"/>
    <col min="9730" max="9730" width="4.375" style="1035" customWidth="1"/>
    <col min="9731" max="9731" width="10.375" style="1035" customWidth="1"/>
    <col min="9732" max="9732" width="34.75" style="1035" customWidth="1"/>
    <col min="9733" max="9733" width="10.375" style="1035" customWidth="1"/>
    <col min="9734" max="9734" width="12" style="1035" customWidth="1"/>
    <col min="9735" max="9735" width="12.625" style="1035" customWidth="1"/>
    <col min="9736" max="9736" width="12.125" style="1035" customWidth="1"/>
    <col min="9737" max="9985" width="9" style="1035"/>
    <col min="9986" max="9986" width="4.375" style="1035" customWidth="1"/>
    <col min="9987" max="9987" width="10.375" style="1035" customWidth="1"/>
    <col min="9988" max="9988" width="34.75" style="1035" customWidth="1"/>
    <col min="9989" max="9989" width="10.375" style="1035" customWidth="1"/>
    <col min="9990" max="9990" width="12" style="1035" customWidth="1"/>
    <col min="9991" max="9991" width="12.625" style="1035" customWidth="1"/>
    <col min="9992" max="9992" width="12.125" style="1035" customWidth="1"/>
    <col min="9993" max="10241" width="9" style="1035"/>
    <col min="10242" max="10242" width="4.375" style="1035" customWidth="1"/>
    <col min="10243" max="10243" width="10.375" style="1035" customWidth="1"/>
    <col min="10244" max="10244" width="34.75" style="1035" customWidth="1"/>
    <col min="10245" max="10245" width="10.375" style="1035" customWidth="1"/>
    <col min="10246" max="10246" width="12" style="1035" customWidth="1"/>
    <col min="10247" max="10247" width="12.625" style="1035" customWidth="1"/>
    <col min="10248" max="10248" width="12.125" style="1035" customWidth="1"/>
    <col min="10249" max="10497" width="9" style="1035"/>
    <col min="10498" max="10498" width="4.375" style="1035" customWidth="1"/>
    <col min="10499" max="10499" width="10.375" style="1035" customWidth="1"/>
    <col min="10500" max="10500" width="34.75" style="1035" customWidth="1"/>
    <col min="10501" max="10501" width="10.375" style="1035" customWidth="1"/>
    <col min="10502" max="10502" width="12" style="1035" customWidth="1"/>
    <col min="10503" max="10503" width="12.625" style="1035" customWidth="1"/>
    <col min="10504" max="10504" width="12.125" style="1035" customWidth="1"/>
    <col min="10505" max="10753" width="9" style="1035"/>
    <col min="10754" max="10754" width="4.375" style="1035" customWidth="1"/>
    <col min="10755" max="10755" width="10.375" style="1035" customWidth="1"/>
    <col min="10756" max="10756" width="34.75" style="1035" customWidth="1"/>
    <col min="10757" max="10757" width="10.375" style="1035" customWidth="1"/>
    <col min="10758" max="10758" width="12" style="1035" customWidth="1"/>
    <col min="10759" max="10759" width="12.625" style="1035" customWidth="1"/>
    <col min="10760" max="10760" width="12.125" style="1035" customWidth="1"/>
    <col min="10761" max="11009" width="9" style="1035"/>
    <col min="11010" max="11010" width="4.375" style="1035" customWidth="1"/>
    <col min="11011" max="11011" width="10.375" style="1035" customWidth="1"/>
    <col min="11012" max="11012" width="34.75" style="1035" customWidth="1"/>
    <col min="11013" max="11013" width="10.375" style="1035" customWidth="1"/>
    <col min="11014" max="11014" width="12" style="1035" customWidth="1"/>
    <col min="11015" max="11015" width="12.625" style="1035" customWidth="1"/>
    <col min="11016" max="11016" width="12.125" style="1035" customWidth="1"/>
    <col min="11017" max="11265" width="9" style="1035"/>
    <col min="11266" max="11266" width="4.375" style="1035" customWidth="1"/>
    <col min="11267" max="11267" width="10.375" style="1035" customWidth="1"/>
    <col min="11268" max="11268" width="34.75" style="1035" customWidth="1"/>
    <col min="11269" max="11269" width="10.375" style="1035" customWidth="1"/>
    <col min="11270" max="11270" width="12" style="1035" customWidth="1"/>
    <col min="11271" max="11271" width="12.625" style="1035" customWidth="1"/>
    <col min="11272" max="11272" width="12.125" style="1035" customWidth="1"/>
    <col min="11273" max="11521" width="9" style="1035"/>
    <col min="11522" max="11522" width="4.375" style="1035" customWidth="1"/>
    <col min="11523" max="11523" width="10.375" style="1035" customWidth="1"/>
    <col min="11524" max="11524" width="34.75" style="1035" customWidth="1"/>
    <col min="11525" max="11525" width="10.375" style="1035" customWidth="1"/>
    <col min="11526" max="11526" width="12" style="1035" customWidth="1"/>
    <col min="11527" max="11527" width="12.625" style="1035" customWidth="1"/>
    <col min="11528" max="11528" width="12.125" style="1035" customWidth="1"/>
    <col min="11529" max="11777" width="9" style="1035"/>
    <col min="11778" max="11778" width="4.375" style="1035" customWidth="1"/>
    <col min="11779" max="11779" width="10.375" style="1035" customWidth="1"/>
    <col min="11780" max="11780" width="34.75" style="1035" customWidth="1"/>
    <col min="11781" max="11781" width="10.375" style="1035" customWidth="1"/>
    <col min="11782" max="11782" width="12" style="1035" customWidth="1"/>
    <col min="11783" max="11783" width="12.625" style="1035" customWidth="1"/>
    <col min="11784" max="11784" width="12.125" style="1035" customWidth="1"/>
    <col min="11785" max="12033" width="9" style="1035"/>
    <col min="12034" max="12034" width="4.375" style="1035" customWidth="1"/>
    <col min="12035" max="12035" width="10.375" style="1035" customWidth="1"/>
    <col min="12036" max="12036" width="34.75" style="1035" customWidth="1"/>
    <col min="12037" max="12037" width="10.375" style="1035" customWidth="1"/>
    <col min="12038" max="12038" width="12" style="1035" customWidth="1"/>
    <col min="12039" max="12039" width="12.625" style="1035" customWidth="1"/>
    <col min="12040" max="12040" width="12.125" style="1035" customWidth="1"/>
    <col min="12041" max="12289" width="9" style="1035"/>
    <col min="12290" max="12290" width="4.375" style="1035" customWidth="1"/>
    <col min="12291" max="12291" width="10.375" style="1035" customWidth="1"/>
    <col min="12292" max="12292" width="34.75" style="1035" customWidth="1"/>
    <col min="12293" max="12293" width="10.375" style="1035" customWidth="1"/>
    <col min="12294" max="12294" width="12" style="1035" customWidth="1"/>
    <col min="12295" max="12295" width="12.625" style="1035" customWidth="1"/>
    <col min="12296" max="12296" width="12.125" style="1035" customWidth="1"/>
    <col min="12297" max="12545" width="9" style="1035"/>
    <col min="12546" max="12546" width="4.375" style="1035" customWidth="1"/>
    <col min="12547" max="12547" width="10.375" style="1035" customWidth="1"/>
    <col min="12548" max="12548" width="34.75" style="1035" customWidth="1"/>
    <col min="12549" max="12549" width="10.375" style="1035" customWidth="1"/>
    <col min="12550" max="12550" width="12" style="1035" customWidth="1"/>
    <col min="12551" max="12551" width="12.625" style="1035" customWidth="1"/>
    <col min="12552" max="12552" width="12.125" style="1035" customWidth="1"/>
    <col min="12553" max="12801" width="9" style="1035"/>
    <col min="12802" max="12802" width="4.375" style="1035" customWidth="1"/>
    <col min="12803" max="12803" width="10.375" style="1035" customWidth="1"/>
    <col min="12804" max="12804" width="34.75" style="1035" customWidth="1"/>
    <col min="12805" max="12805" width="10.375" style="1035" customWidth="1"/>
    <col min="12806" max="12806" width="12" style="1035" customWidth="1"/>
    <col min="12807" max="12807" width="12.625" style="1035" customWidth="1"/>
    <col min="12808" max="12808" width="12.125" style="1035" customWidth="1"/>
    <col min="12809" max="13057" width="9" style="1035"/>
    <col min="13058" max="13058" width="4.375" style="1035" customWidth="1"/>
    <col min="13059" max="13059" width="10.375" style="1035" customWidth="1"/>
    <col min="13060" max="13060" width="34.75" style="1035" customWidth="1"/>
    <col min="13061" max="13061" width="10.375" style="1035" customWidth="1"/>
    <col min="13062" max="13062" width="12" style="1035" customWidth="1"/>
    <col min="13063" max="13063" width="12.625" style="1035" customWidth="1"/>
    <col min="13064" max="13064" width="12.125" style="1035" customWidth="1"/>
    <col min="13065" max="13313" width="9" style="1035"/>
    <col min="13314" max="13314" width="4.375" style="1035" customWidth="1"/>
    <col min="13315" max="13315" width="10.375" style="1035" customWidth="1"/>
    <col min="13316" max="13316" width="34.75" style="1035" customWidth="1"/>
    <col min="13317" max="13317" width="10.375" style="1035" customWidth="1"/>
    <col min="13318" max="13318" width="12" style="1035" customWidth="1"/>
    <col min="13319" max="13319" width="12.625" style="1035" customWidth="1"/>
    <col min="13320" max="13320" width="12.125" style="1035" customWidth="1"/>
    <col min="13321" max="13569" width="9" style="1035"/>
    <col min="13570" max="13570" width="4.375" style="1035" customWidth="1"/>
    <col min="13571" max="13571" width="10.375" style="1035" customWidth="1"/>
    <col min="13572" max="13572" width="34.75" style="1035" customWidth="1"/>
    <col min="13573" max="13573" width="10.375" style="1035" customWidth="1"/>
    <col min="13574" max="13574" width="12" style="1035" customWidth="1"/>
    <col min="13575" max="13575" width="12.625" style="1035" customWidth="1"/>
    <col min="13576" max="13576" width="12.125" style="1035" customWidth="1"/>
    <col min="13577" max="13825" width="9" style="1035"/>
    <col min="13826" max="13826" width="4.375" style="1035" customWidth="1"/>
    <col min="13827" max="13827" width="10.375" style="1035" customWidth="1"/>
    <col min="13828" max="13828" width="34.75" style="1035" customWidth="1"/>
    <col min="13829" max="13829" width="10.375" style="1035" customWidth="1"/>
    <col min="13830" max="13830" width="12" style="1035" customWidth="1"/>
    <col min="13831" max="13831" width="12.625" style="1035" customWidth="1"/>
    <col min="13832" max="13832" width="12.125" style="1035" customWidth="1"/>
    <col min="13833" max="14081" width="9" style="1035"/>
    <col min="14082" max="14082" width="4.375" style="1035" customWidth="1"/>
    <col min="14083" max="14083" width="10.375" style="1035" customWidth="1"/>
    <col min="14084" max="14084" width="34.75" style="1035" customWidth="1"/>
    <col min="14085" max="14085" width="10.375" style="1035" customWidth="1"/>
    <col min="14086" max="14086" width="12" style="1035" customWidth="1"/>
    <col min="14087" max="14087" width="12.625" style="1035" customWidth="1"/>
    <col min="14088" max="14088" width="12.125" style="1035" customWidth="1"/>
    <col min="14089" max="14337" width="9" style="1035"/>
    <col min="14338" max="14338" width="4.375" style="1035" customWidth="1"/>
    <col min="14339" max="14339" width="10.375" style="1035" customWidth="1"/>
    <col min="14340" max="14340" width="34.75" style="1035" customWidth="1"/>
    <col min="14341" max="14341" width="10.375" style="1035" customWidth="1"/>
    <col min="14342" max="14342" width="12" style="1035" customWidth="1"/>
    <col min="14343" max="14343" width="12.625" style="1035" customWidth="1"/>
    <col min="14344" max="14344" width="12.125" style="1035" customWidth="1"/>
    <col min="14345" max="14593" width="9" style="1035"/>
    <col min="14594" max="14594" width="4.375" style="1035" customWidth="1"/>
    <col min="14595" max="14595" width="10.375" style="1035" customWidth="1"/>
    <col min="14596" max="14596" width="34.75" style="1035" customWidth="1"/>
    <col min="14597" max="14597" width="10.375" style="1035" customWidth="1"/>
    <col min="14598" max="14598" width="12" style="1035" customWidth="1"/>
    <col min="14599" max="14599" width="12.625" style="1035" customWidth="1"/>
    <col min="14600" max="14600" width="12.125" style="1035" customWidth="1"/>
    <col min="14601" max="14849" width="9" style="1035"/>
    <col min="14850" max="14850" width="4.375" style="1035" customWidth="1"/>
    <col min="14851" max="14851" width="10.375" style="1035" customWidth="1"/>
    <col min="14852" max="14852" width="34.75" style="1035" customWidth="1"/>
    <col min="14853" max="14853" width="10.375" style="1035" customWidth="1"/>
    <col min="14854" max="14854" width="12" style="1035" customWidth="1"/>
    <col min="14855" max="14855" width="12.625" style="1035" customWidth="1"/>
    <col min="14856" max="14856" width="12.125" style="1035" customWidth="1"/>
    <col min="14857" max="15105" width="9" style="1035"/>
    <col min="15106" max="15106" width="4.375" style="1035" customWidth="1"/>
    <col min="15107" max="15107" width="10.375" style="1035" customWidth="1"/>
    <col min="15108" max="15108" width="34.75" style="1035" customWidth="1"/>
    <col min="15109" max="15109" width="10.375" style="1035" customWidth="1"/>
    <col min="15110" max="15110" width="12" style="1035" customWidth="1"/>
    <col min="15111" max="15111" width="12.625" style="1035" customWidth="1"/>
    <col min="15112" max="15112" width="12.125" style="1035" customWidth="1"/>
    <col min="15113" max="15361" width="9" style="1035"/>
    <col min="15362" max="15362" width="4.375" style="1035" customWidth="1"/>
    <col min="15363" max="15363" width="10.375" style="1035" customWidth="1"/>
    <col min="15364" max="15364" width="34.75" style="1035" customWidth="1"/>
    <col min="15365" max="15365" width="10.375" style="1035" customWidth="1"/>
    <col min="15366" max="15366" width="12" style="1035" customWidth="1"/>
    <col min="15367" max="15367" width="12.625" style="1035" customWidth="1"/>
    <col min="15368" max="15368" width="12.125" style="1035" customWidth="1"/>
    <col min="15369" max="15617" width="9" style="1035"/>
    <col min="15618" max="15618" width="4.375" style="1035" customWidth="1"/>
    <col min="15619" max="15619" width="10.375" style="1035" customWidth="1"/>
    <col min="15620" max="15620" width="34.75" style="1035" customWidth="1"/>
    <col min="15621" max="15621" width="10.375" style="1035" customWidth="1"/>
    <col min="15622" max="15622" width="12" style="1035" customWidth="1"/>
    <col min="15623" max="15623" width="12.625" style="1035" customWidth="1"/>
    <col min="15624" max="15624" width="12.125" style="1035" customWidth="1"/>
    <col min="15625" max="15873" width="9" style="1035"/>
    <col min="15874" max="15874" width="4.375" style="1035" customWidth="1"/>
    <col min="15875" max="15875" width="10.375" style="1035" customWidth="1"/>
    <col min="15876" max="15876" width="34.75" style="1035" customWidth="1"/>
    <col min="15877" max="15877" width="10.375" style="1035" customWidth="1"/>
    <col min="15878" max="15878" width="12" style="1035" customWidth="1"/>
    <col min="15879" max="15879" width="12.625" style="1035" customWidth="1"/>
    <col min="15880" max="15880" width="12.125" style="1035" customWidth="1"/>
    <col min="15881" max="16129" width="9" style="1035"/>
    <col min="16130" max="16130" width="4.375" style="1035" customWidth="1"/>
    <col min="16131" max="16131" width="10.375" style="1035" customWidth="1"/>
    <col min="16132" max="16132" width="34.75" style="1035" customWidth="1"/>
    <col min="16133" max="16133" width="10.375" style="1035" customWidth="1"/>
    <col min="16134" max="16134" width="12" style="1035" customWidth="1"/>
    <col min="16135" max="16135" width="12.625" style="1035" customWidth="1"/>
    <col min="16136" max="16136" width="12.125" style="1035" customWidth="1"/>
    <col min="16137" max="16384" width="9" style="1035"/>
  </cols>
  <sheetData>
    <row r="2" spans="2:9" s="682" customFormat="1" ht="20.25" x14ac:dyDescent="0.3">
      <c r="B2" s="1189" t="s">
        <v>811</v>
      </c>
      <c r="E2" s="1190"/>
      <c r="F2" s="684"/>
      <c r="G2" s="684"/>
    </row>
    <row r="3" spans="2:9" s="682" customFormat="1" ht="18" x14ac:dyDescent="0.25">
      <c r="B3" s="2099" t="s">
        <v>1209</v>
      </c>
      <c r="E3" s="1190"/>
      <c r="F3" s="684"/>
      <c r="G3" s="684"/>
    </row>
    <row r="4" spans="2:9" s="682" customFormat="1" ht="15" x14ac:dyDescent="0.2">
      <c r="B4" s="2099" t="s">
        <v>1210</v>
      </c>
      <c r="F4" s="684"/>
      <c r="G4" s="684"/>
    </row>
    <row r="5" spans="2:9" s="2100" customFormat="1" ht="14.25" x14ac:dyDescent="0.2">
      <c r="F5" s="2102"/>
      <c r="G5" s="2102"/>
    </row>
    <row r="6" spans="2:9" s="682" customFormat="1" ht="40.5" customHeight="1" x14ac:dyDescent="0.25">
      <c r="C6" s="3160" t="s">
        <v>812</v>
      </c>
      <c r="D6" s="3160"/>
      <c r="E6" s="3160"/>
      <c r="F6" s="3160"/>
      <c r="G6" s="3160"/>
      <c r="H6" s="3160"/>
      <c r="I6" s="1192"/>
    </row>
    <row r="7" spans="2:9" s="682" customFormat="1" ht="15.75" x14ac:dyDescent="0.25">
      <c r="C7" s="1193"/>
      <c r="E7" s="736"/>
      <c r="F7" s="684"/>
      <c r="G7" s="684"/>
      <c r="I7" s="1192"/>
    </row>
    <row r="8" spans="2:9" s="736" customFormat="1" x14ac:dyDescent="0.2">
      <c r="B8" s="1194" t="s">
        <v>813</v>
      </c>
      <c r="C8" s="809"/>
      <c r="D8" s="1003" t="s">
        <v>814</v>
      </c>
      <c r="E8" s="1003" t="s">
        <v>710</v>
      </c>
      <c r="F8" s="1068" t="s">
        <v>623</v>
      </c>
      <c r="G8" s="1069" t="s">
        <v>443</v>
      </c>
      <c r="H8" s="1070" t="s">
        <v>443</v>
      </c>
    </row>
    <row r="9" spans="2:9" s="747" customFormat="1" x14ac:dyDescent="0.2">
      <c r="B9" s="1195"/>
      <c r="C9" s="1196"/>
      <c r="D9" s="1197"/>
      <c r="E9" s="732"/>
      <c r="F9" s="1101"/>
      <c r="G9" s="1198" t="s">
        <v>445</v>
      </c>
      <c r="H9" s="1199" t="s">
        <v>315</v>
      </c>
    </row>
    <row r="10" spans="2:9" s="755" customFormat="1" ht="15.75" x14ac:dyDescent="0.25">
      <c r="B10" s="1200">
        <v>1</v>
      </c>
      <c r="C10" s="1201" t="s">
        <v>407</v>
      </c>
      <c r="D10" s="1202"/>
      <c r="E10" s="1203"/>
      <c r="F10" s="1204"/>
      <c r="G10" s="1204"/>
      <c r="H10" s="1205"/>
    </row>
    <row r="11" spans="2:9" s="755" customFormat="1" x14ac:dyDescent="0.2">
      <c r="B11" s="1206"/>
      <c r="C11" s="958" t="s">
        <v>711</v>
      </c>
      <c r="D11" s="1207"/>
      <c r="E11" s="1090"/>
      <c r="F11" s="1073">
        <v>10</v>
      </c>
      <c r="G11" s="960">
        <f>E11*F11</f>
        <v>0</v>
      </c>
      <c r="H11" s="928">
        <f t="shared" ref="H11:H20" si="0">G11/15</f>
        <v>0</v>
      </c>
    </row>
    <row r="12" spans="2:9" s="755" customFormat="1" x14ac:dyDescent="0.2">
      <c r="B12" s="1206"/>
      <c r="C12" s="958" t="s">
        <v>712</v>
      </c>
      <c r="D12" s="1207"/>
      <c r="E12" s="1090"/>
      <c r="F12" s="1073">
        <v>10</v>
      </c>
      <c r="G12" s="960">
        <f t="shared" ref="G12:G20" si="1">E12*F12</f>
        <v>0</v>
      </c>
      <c r="H12" s="928">
        <f t="shared" si="0"/>
        <v>0</v>
      </c>
    </row>
    <row r="13" spans="2:9" s="755" customFormat="1" x14ac:dyDescent="0.2">
      <c r="B13" s="1206"/>
      <c r="C13" s="958" t="s">
        <v>713</v>
      </c>
      <c r="D13" s="1207"/>
      <c r="E13" s="1090"/>
      <c r="F13" s="1073">
        <v>10</v>
      </c>
      <c r="G13" s="960">
        <f t="shared" si="1"/>
        <v>0</v>
      </c>
      <c r="H13" s="928">
        <f t="shared" si="0"/>
        <v>0</v>
      </c>
    </row>
    <row r="14" spans="2:9" s="755" customFormat="1" x14ac:dyDescent="0.2">
      <c r="B14" s="1206"/>
      <c r="C14" s="958" t="s">
        <v>714</v>
      </c>
      <c r="D14" s="1207"/>
      <c r="E14" s="1090"/>
      <c r="F14" s="1073">
        <v>10</v>
      </c>
      <c r="G14" s="960">
        <f t="shared" si="1"/>
        <v>0</v>
      </c>
      <c r="H14" s="928">
        <f t="shared" si="0"/>
        <v>0</v>
      </c>
    </row>
    <row r="15" spans="2:9" s="755" customFormat="1" x14ac:dyDescent="0.2">
      <c r="B15" s="1206"/>
      <c r="C15" s="958" t="s">
        <v>715</v>
      </c>
      <c r="D15" s="1207"/>
      <c r="E15" s="1090"/>
      <c r="F15" s="1073">
        <v>10</v>
      </c>
      <c r="G15" s="960">
        <f t="shared" si="1"/>
        <v>0</v>
      </c>
      <c r="H15" s="928">
        <f t="shared" si="0"/>
        <v>0</v>
      </c>
    </row>
    <row r="16" spans="2:9" s="755" customFormat="1" x14ac:dyDescent="0.2">
      <c r="B16" s="1206"/>
      <c r="C16" s="958" t="s">
        <v>815</v>
      </c>
      <c r="D16" s="1207"/>
      <c r="E16" s="1090"/>
      <c r="F16" s="1073">
        <v>10</v>
      </c>
      <c r="G16" s="960">
        <f t="shared" si="1"/>
        <v>0</v>
      </c>
      <c r="H16" s="928">
        <f t="shared" si="0"/>
        <v>0</v>
      </c>
    </row>
    <row r="17" spans="2:8" s="755" customFormat="1" x14ac:dyDescent="0.2">
      <c r="B17" s="1206"/>
      <c r="C17" s="958" t="s">
        <v>816</v>
      </c>
      <c r="D17" s="1207"/>
      <c r="E17" s="1090"/>
      <c r="F17" s="1073">
        <v>10</v>
      </c>
      <c r="G17" s="960">
        <f t="shared" si="1"/>
        <v>0</v>
      </c>
      <c r="H17" s="928">
        <f t="shared" si="0"/>
        <v>0</v>
      </c>
    </row>
    <row r="18" spans="2:8" s="755" customFormat="1" x14ac:dyDescent="0.2">
      <c r="B18" s="1206"/>
      <c r="C18" s="958" t="s">
        <v>817</v>
      </c>
      <c r="D18" s="1207"/>
      <c r="E18" s="1090"/>
      <c r="F18" s="1073">
        <v>10</v>
      </c>
      <c r="G18" s="960">
        <f t="shared" si="1"/>
        <v>0</v>
      </c>
      <c r="H18" s="928">
        <f t="shared" si="0"/>
        <v>0</v>
      </c>
    </row>
    <row r="19" spans="2:8" s="755" customFormat="1" x14ac:dyDescent="0.2">
      <c r="B19" s="1206"/>
      <c r="C19" s="958" t="s">
        <v>818</v>
      </c>
      <c r="D19" s="1207"/>
      <c r="E19" s="1090"/>
      <c r="F19" s="1073">
        <v>10</v>
      </c>
      <c r="G19" s="960">
        <f t="shared" si="1"/>
        <v>0</v>
      </c>
      <c r="H19" s="928">
        <f t="shared" si="0"/>
        <v>0</v>
      </c>
    </row>
    <row r="20" spans="2:8" s="755" customFormat="1" x14ac:dyDescent="0.2">
      <c r="B20" s="1206"/>
      <c r="C20" s="958" t="s">
        <v>819</v>
      </c>
      <c r="D20" s="1207"/>
      <c r="E20" s="1090"/>
      <c r="F20" s="1073">
        <v>10</v>
      </c>
      <c r="G20" s="960">
        <f t="shared" si="1"/>
        <v>0</v>
      </c>
      <c r="H20" s="928">
        <f t="shared" si="0"/>
        <v>0</v>
      </c>
    </row>
    <row r="21" spans="2:8" s="755" customFormat="1" x14ac:dyDescent="0.2">
      <c r="B21" s="1208"/>
      <c r="C21" s="1171"/>
      <c r="D21" s="1209"/>
      <c r="E21" s="1210"/>
      <c r="F21" s="867" t="s">
        <v>283</v>
      </c>
      <c r="G21" s="820">
        <f>SUM(G11:G20)</f>
        <v>0</v>
      </c>
      <c r="H21" s="821">
        <f>SUM(H11:H20)</f>
        <v>0</v>
      </c>
    </row>
    <row r="22" spans="2:8" s="755" customFormat="1" ht="15.75" x14ac:dyDescent="0.25">
      <c r="B22" s="1200">
        <v>2</v>
      </c>
      <c r="C22" s="1201" t="s">
        <v>408</v>
      </c>
      <c r="D22" s="1202"/>
      <c r="E22" s="1203"/>
      <c r="F22" s="1204"/>
      <c r="G22" s="1204"/>
      <c r="H22" s="1205"/>
    </row>
    <row r="23" spans="2:8" s="755" customFormat="1" x14ac:dyDescent="0.2">
      <c r="B23" s="1206"/>
      <c r="C23" s="958" t="s">
        <v>711</v>
      </c>
      <c r="D23" s="1211" t="s">
        <v>1175</v>
      </c>
      <c r="E23" s="1090"/>
      <c r="F23" s="1073">
        <v>1</v>
      </c>
      <c r="G23" s="960">
        <f>IF(E23=0,0,IF(E23&gt;=15,15,IF(E23&lt;=14,E23)))</f>
        <v>0</v>
      </c>
      <c r="H23" s="928">
        <f t="shared" ref="H23:H32" si="2">G23/15</f>
        <v>0</v>
      </c>
    </row>
    <row r="24" spans="2:8" s="755" customFormat="1" x14ac:dyDescent="0.2">
      <c r="B24" s="1206"/>
      <c r="C24" s="958" t="s">
        <v>712</v>
      </c>
      <c r="D24" s="2104"/>
      <c r="E24" s="1090"/>
      <c r="F24" s="1073">
        <v>1</v>
      </c>
      <c r="G24" s="960">
        <f>IF(E24=0,0,IF(E24&gt;=15,15,IF(E24&lt;=14,E24)))</f>
        <v>0</v>
      </c>
      <c r="H24" s="928">
        <f t="shared" si="2"/>
        <v>0</v>
      </c>
    </row>
    <row r="25" spans="2:8" s="755" customFormat="1" x14ac:dyDescent="0.2">
      <c r="B25" s="1206"/>
      <c r="C25" s="958" t="s">
        <v>713</v>
      </c>
      <c r="D25" s="1207"/>
      <c r="E25" s="1090"/>
      <c r="F25" s="1073">
        <v>1</v>
      </c>
      <c r="G25" s="960">
        <f t="shared" ref="G25:G32" si="3">E25*F25</f>
        <v>0</v>
      </c>
      <c r="H25" s="928">
        <f t="shared" si="2"/>
        <v>0</v>
      </c>
    </row>
    <row r="26" spans="2:8" s="755" customFormat="1" x14ac:dyDescent="0.2">
      <c r="B26" s="1206"/>
      <c r="C26" s="958" t="s">
        <v>714</v>
      </c>
      <c r="D26" s="1207"/>
      <c r="E26" s="1090"/>
      <c r="F26" s="1073">
        <v>1</v>
      </c>
      <c r="G26" s="960">
        <f t="shared" si="3"/>
        <v>0</v>
      </c>
      <c r="H26" s="928">
        <f t="shared" si="2"/>
        <v>0</v>
      </c>
    </row>
    <row r="27" spans="2:8" s="755" customFormat="1" x14ac:dyDescent="0.2">
      <c r="B27" s="1206"/>
      <c r="C27" s="958" t="s">
        <v>715</v>
      </c>
      <c r="D27" s="1207"/>
      <c r="E27" s="1090"/>
      <c r="F27" s="1073">
        <v>1</v>
      </c>
      <c r="G27" s="960">
        <f t="shared" si="3"/>
        <v>0</v>
      </c>
      <c r="H27" s="928">
        <f t="shared" si="2"/>
        <v>0</v>
      </c>
    </row>
    <row r="28" spans="2:8" s="755" customFormat="1" x14ac:dyDescent="0.2">
      <c r="B28" s="1206"/>
      <c r="C28" s="958" t="s">
        <v>815</v>
      </c>
      <c r="D28" s="1207"/>
      <c r="E28" s="1090"/>
      <c r="F28" s="1073">
        <v>1</v>
      </c>
      <c r="G28" s="960">
        <f t="shared" si="3"/>
        <v>0</v>
      </c>
      <c r="H28" s="928">
        <f t="shared" si="2"/>
        <v>0</v>
      </c>
    </row>
    <row r="29" spans="2:8" s="755" customFormat="1" x14ac:dyDescent="0.2">
      <c r="B29" s="1206"/>
      <c r="C29" s="958" t="s">
        <v>816</v>
      </c>
      <c r="D29" s="1207"/>
      <c r="E29" s="1090"/>
      <c r="F29" s="1073">
        <v>1</v>
      </c>
      <c r="G29" s="960">
        <f t="shared" si="3"/>
        <v>0</v>
      </c>
      <c r="H29" s="928">
        <f t="shared" si="2"/>
        <v>0</v>
      </c>
    </row>
    <row r="30" spans="2:8" s="755" customFormat="1" x14ac:dyDescent="0.2">
      <c r="B30" s="1206"/>
      <c r="C30" s="958" t="s">
        <v>817</v>
      </c>
      <c r="D30" s="1207"/>
      <c r="E30" s="1090"/>
      <c r="F30" s="1073">
        <v>1</v>
      </c>
      <c r="G30" s="960">
        <f t="shared" si="3"/>
        <v>0</v>
      </c>
      <c r="H30" s="928">
        <f t="shared" si="2"/>
        <v>0</v>
      </c>
    </row>
    <row r="31" spans="2:8" s="755" customFormat="1" x14ac:dyDescent="0.2">
      <c r="B31" s="1206"/>
      <c r="C31" s="958" t="s">
        <v>818</v>
      </c>
      <c r="D31" s="1207"/>
      <c r="E31" s="1090"/>
      <c r="F31" s="1073">
        <v>1</v>
      </c>
      <c r="G31" s="960">
        <f t="shared" si="3"/>
        <v>0</v>
      </c>
      <c r="H31" s="928">
        <f t="shared" si="2"/>
        <v>0</v>
      </c>
    </row>
    <row r="32" spans="2:8" s="755" customFormat="1" x14ac:dyDescent="0.2">
      <c r="B32" s="1206"/>
      <c r="C32" s="958" t="s">
        <v>819</v>
      </c>
      <c r="D32" s="1207"/>
      <c r="E32" s="1090"/>
      <c r="F32" s="1073">
        <v>1</v>
      </c>
      <c r="G32" s="960">
        <f t="shared" si="3"/>
        <v>0</v>
      </c>
      <c r="H32" s="928">
        <f t="shared" si="2"/>
        <v>0</v>
      </c>
    </row>
    <row r="33" spans="2:8" s="755" customFormat="1" x14ac:dyDescent="0.2">
      <c r="B33" s="1208"/>
      <c r="C33" s="1171"/>
      <c r="D33" s="1212"/>
      <c r="E33" s="1075"/>
      <c r="F33" s="867" t="s">
        <v>283</v>
      </c>
      <c r="G33" s="820">
        <f>SUM(G23:G32)</f>
        <v>0</v>
      </c>
      <c r="H33" s="821">
        <f>SUM(H23:H32)</f>
        <v>0</v>
      </c>
    </row>
    <row r="34" spans="2:8" s="736" customFormat="1" x14ac:dyDescent="0.2">
      <c r="B34" s="1194" t="s">
        <v>813</v>
      </c>
      <c r="C34" s="809"/>
      <c r="D34" s="1003" t="s">
        <v>820</v>
      </c>
      <c r="E34" s="1003" t="s">
        <v>710</v>
      </c>
      <c r="F34" s="1068" t="s">
        <v>623</v>
      </c>
      <c r="G34" s="1069" t="s">
        <v>443</v>
      </c>
      <c r="H34" s="1070" t="s">
        <v>443</v>
      </c>
    </row>
    <row r="35" spans="2:8" s="747" customFormat="1" x14ac:dyDescent="0.2">
      <c r="B35" s="1195"/>
      <c r="C35" s="1196"/>
      <c r="D35" s="1197"/>
      <c r="E35" s="1197"/>
      <c r="F35" s="1198"/>
      <c r="G35" s="1198" t="s">
        <v>445</v>
      </c>
      <c r="H35" s="1199" t="s">
        <v>315</v>
      </c>
    </row>
    <row r="36" spans="2:8" s="755" customFormat="1" ht="15.75" x14ac:dyDescent="0.25">
      <c r="B36" s="1200">
        <v>3</v>
      </c>
      <c r="C36" s="1214" t="s">
        <v>409</v>
      </c>
      <c r="D36" s="1144"/>
      <c r="E36" s="1215"/>
      <c r="F36" s="1216"/>
      <c r="G36" s="1216"/>
      <c r="H36" s="1217"/>
    </row>
    <row r="37" spans="2:8" s="755" customFormat="1" x14ac:dyDescent="0.2">
      <c r="B37" s="1206"/>
      <c r="C37" s="958" t="s">
        <v>821</v>
      </c>
      <c r="D37" s="1207"/>
      <c r="E37" s="1090"/>
      <c r="F37" s="1073">
        <v>1</v>
      </c>
      <c r="G37" s="960">
        <f>IF(E37=0,0,IF(E37&gt;=15,15,IF(E37&lt;=14,E37)))</f>
        <v>0</v>
      </c>
      <c r="H37" s="928">
        <f t="shared" ref="H37:H46" si="4">G37/15</f>
        <v>0</v>
      </c>
    </row>
    <row r="38" spans="2:8" s="755" customFormat="1" x14ac:dyDescent="0.2">
      <c r="B38" s="1206"/>
      <c r="C38" s="958" t="s">
        <v>822</v>
      </c>
      <c r="D38" s="1207"/>
      <c r="E38" s="1090"/>
      <c r="F38" s="1073">
        <v>1</v>
      </c>
      <c r="G38" s="960">
        <f>IF(E38=0,0,IF(E38&gt;=15,15,IF(E38&lt;=14,E38)))</f>
        <v>0</v>
      </c>
      <c r="H38" s="928">
        <f t="shared" si="4"/>
        <v>0</v>
      </c>
    </row>
    <row r="39" spans="2:8" s="755" customFormat="1" x14ac:dyDescent="0.2">
      <c r="B39" s="1206"/>
      <c r="C39" s="958" t="s">
        <v>823</v>
      </c>
      <c r="D39" s="1207"/>
      <c r="E39" s="1090"/>
      <c r="F39" s="1073">
        <v>1</v>
      </c>
      <c r="G39" s="960">
        <f t="shared" ref="G39:G45" si="5">IF(E39=0,0,IF(E39&gt;=15,15,IF(E39&lt;=14,E39)))</f>
        <v>0</v>
      </c>
      <c r="H39" s="928">
        <f t="shared" si="4"/>
        <v>0</v>
      </c>
    </row>
    <row r="40" spans="2:8" s="755" customFormat="1" x14ac:dyDescent="0.2">
      <c r="B40" s="1206"/>
      <c r="C40" s="958" t="s">
        <v>824</v>
      </c>
      <c r="D40" s="1207"/>
      <c r="E40" s="1090"/>
      <c r="F40" s="1073">
        <v>1</v>
      </c>
      <c r="G40" s="960">
        <f t="shared" si="5"/>
        <v>0</v>
      </c>
      <c r="H40" s="928">
        <f t="shared" si="4"/>
        <v>0</v>
      </c>
    </row>
    <row r="41" spans="2:8" s="755" customFormat="1" x14ac:dyDescent="0.2">
      <c r="B41" s="1206"/>
      <c r="C41" s="958" t="s">
        <v>825</v>
      </c>
      <c r="D41" s="1207"/>
      <c r="E41" s="1090"/>
      <c r="F41" s="1073">
        <v>1</v>
      </c>
      <c r="G41" s="960">
        <f t="shared" si="5"/>
        <v>0</v>
      </c>
      <c r="H41" s="928">
        <f t="shared" si="4"/>
        <v>0</v>
      </c>
    </row>
    <row r="42" spans="2:8" s="755" customFormat="1" x14ac:dyDescent="0.2">
      <c r="B42" s="1206"/>
      <c r="C42" s="958" t="s">
        <v>826</v>
      </c>
      <c r="D42" s="1207"/>
      <c r="E42" s="1090"/>
      <c r="F42" s="1073">
        <v>1</v>
      </c>
      <c r="G42" s="960">
        <f t="shared" si="5"/>
        <v>0</v>
      </c>
      <c r="H42" s="928">
        <f t="shared" si="4"/>
        <v>0</v>
      </c>
    </row>
    <row r="43" spans="2:8" s="755" customFormat="1" x14ac:dyDescent="0.2">
      <c r="B43" s="1206"/>
      <c r="C43" s="958" t="s">
        <v>827</v>
      </c>
      <c r="D43" s="1207"/>
      <c r="E43" s="1090"/>
      <c r="F43" s="1073">
        <v>1</v>
      </c>
      <c r="G43" s="960">
        <f t="shared" si="5"/>
        <v>0</v>
      </c>
      <c r="H43" s="928">
        <f t="shared" si="4"/>
        <v>0</v>
      </c>
    </row>
    <row r="44" spans="2:8" s="755" customFormat="1" x14ac:dyDescent="0.2">
      <c r="B44" s="1206"/>
      <c r="C44" s="958" t="s">
        <v>828</v>
      </c>
      <c r="D44" s="1207"/>
      <c r="E44" s="1090"/>
      <c r="F44" s="1073">
        <v>1</v>
      </c>
      <c r="G44" s="960">
        <f t="shared" si="5"/>
        <v>0</v>
      </c>
      <c r="H44" s="928">
        <f t="shared" si="4"/>
        <v>0</v>
      </c>
    </row>
    <row r="45" spans="2:8" s="755" customFormat="1" x14ac:dyDescent="0.2">
      <c r="B45" s="1206"/>
      <c r="C45" s="958" t="s">
        <v>829</v>
      </c>
      <c r="D45" s="1207"/>
      <c r="E45" s="1090"/>
      <c r="F45" s="1073">
        <v>1</v>
      </c>
      <c r="G45" s="960">
        <f t="shared" si="5"/>
        <v>0</v>
      </c>
      <c r="H45" s="928">
        <f t="shared" si="4"/>
        <v>0</v>
      </c>
    </row>
    <row r="46" spans="2:8" s="755" customFormat="1" x14ac:dyDescent="0.2">
      <c r="B46" s="1206"/>
      <c r="C46" s="958" t="s">
        <v>830</v>
      </c>
      <c r="D46" s="1207"/>
      <c r="E46" s="1090"/>
      <c r="F46" s="1073">
        <v>1</v>
      </c>
      <c r="G46" s="960">
        <f>IF(E46=0,0,IF(E46&gt;=15,15,IF(E46&lt;=14,E46)))</f>
        <v>0</v>
      </c>
      <c r="H46" s="928">
        <f t="shared" si="4"/>
        <v>0</v>
      </c>
    </row>
    <row r="47" spans="2:8" s="755" customFormat="1" x14ac:dyDescent="0.2">
      <c r="B47" s="1208"/>
      <c r="C47" s="1171"/>
      <c r="D47" s="1212"/>
      <c r="E47" s="1075"/>
      <c r="F47" s="867" t="s">
        <v>283</v>
      </c>
      <c r="G47" s="820">
        <f>SUM(G37:G46)</f>
        <v>0</v>
      </c>
      <c r="H47" s="821">
        <f>SUM(H37:H46)</f>
        <v>0</v>
      </c>
    </row>
    <row r="48" spans="2:8" s="755" customFormat="1" ht="15.75" x14ac:dyDescent="0.25">
      <c r="B48" s="1200">
        <v>4</v>
      </c>
      <c r="C48" s="1201" t="s">
        <v>410</v>
      </c>
      <c r="D48" s="1202"/>
      <c r="E48" s="1203"/>
      <c r="F48" s="1204"/>
      <c r="G48" s="1204"/>
      <c r="H48" s="1205"/>
    </row>
    <row r="49" spans="2:8" s="755" customFormat="1" x14ac:dyDescent="0.2">
      <c r="B49" s="1206"/>
      <c r="C49" s="958" t="s">
        <v>821</v>
      </c>
      <c r="D49" s="1207"/>
      <c r="E49" s="1090"/>
      <c r="F49" s="1073">
        <v>10</v>
      </c>
      <c r="G49" s="960">
        <f>E49*F49</f>
        <v>0</v>
      </c>
      <c r="H49" s="928">
        <f>G49/15</f>
        <v>0</v>
      </c>
    </row>
    <row r="50" spans="2:8" s="755" customFormat="1" x14ac:dyDescent="0.2">
      <c r="B50" s="1206"/>
      <c r="C50" s="958" t="s">
        <v>822</v>
      </c>
      <c r="D50" s="1207"/>
      <c r="E50" s="1090"/>
      <c r="F50" s="1073">
        <v>10</v>
      </c>
      <c r="G50" s="960">
        <f t="shared" ref="G50:G58" si="6">E50*F50</f>
        <v>0</v>
      </c>
      <c r="H50" s="928">
        <f t="shared" ref="H50:H58" si="7">G50/15</f>
        <v>0</v>
      </c>
    </row>
    <row r="51" spans="2:8" s="755" customFormat="1" x14ac:dyDescent="0.2">
      <c r="B51" s="1206"/>
      <c r="C51" s="958" t="s">
        <v>823</v>
      </c>
      <c r="D51" s="1207"/>
      <c r="E51" s="1090"/>
      <c r="F51" s="1073">
        <v>10</v>
      </c>
      <c r="G51" s="960">
        <f t="shared" si="6"/>
        <v>0</v>
      </c>
      <c r="H51" s="928">
        <f t="shared" si="7"/>
        <v>0</v>
      </c>
    </row>
    <row r="52" spans="2:8" s="755" customFormat="1" x14ac:dyDescent="0.2">
      <c r="B52" s="1206"/>
      <c r="C52" s="958" t="s">
        <v>824</v>
      </c>
      <c r="D52" s="1207"/>
      <c r="E52" s="1090"/>
      <c r="F52" s="1073">
        <v>10</v>
      </c>
      <c r="G52" s="960">
        <f t="shared" si="6"/>
        <v>0</v>
      </c>
      <c r="H52" s="928">
        <f t="shared" si="7"/>
        <v>0</v>
      </c>
    </row>
    <row r="53" spans="2:8" s="755" customFormat="1" x14ac:dyDescent="0.2">
      <c r="B53" s="1206"/>
      <c r="C53" s="958" t="s">
        <v>825</v>
      </c>
      <c r="D53" s="1207"/>
      <c r="E53" s="1090"/>
      <c r="F53" s="1073">
        <v>10</v>
      </c>
      <c r="G53" s="960">
        <f t="shared" si="6"/>
        <v>0</v>
      </c>
      <c r="H53" s="928">
        <f t="shared" si="7"/>
        <v>0</v>
      </c>
    </row>
    <row r="54" spans="2:8" s="755" customFormat="1" x14ac:dyDescent="0.2">
      <c r="B54" s="1206"/>
      <c r="C54" s="958" t="s">
        <v>826</v>
      </c>
      <c r="D54" s="1207"/>
      <c r="E54" s="1090"/>
      <c r="F54" s="1073">
        <v>10</v>
      </c>
      <c r="G54" s="960">
        <f t="shared" si="6"/>
        <v>0</v>
      </c>
      <c r="H54" s="928">
        <f t="shared" si="7"/>
        <v>0</v>
      </c>
    </row>
    <row r="55" spans="2:8" s="755" customFormat="1" x14ac:dyDescent="0.2">
      <c r="B55" s="1206"/>
      <c r="C55" s="958" t="s">
        <v>827</v>
      </c>
      <c r="D55" s="1207"/>
      <c r="E55" s="1090"/>
      <c r="F55" s="1073">
        <v>10</v>
      </c>
      <c r="G55" s="960">
        <f t="shared" si="6"/>
        <v>0</v>
      </c>
      <c r="H55" s="928">
        <f t="shared" si="7"/>
        <v>0</v>
      </c>
    </row>
    <row r="56" spans="2:8" s="755" customFormat="1" x14ac:dyDescent="0.2">
      <c r="B56" s="1206"/>
      <c r="C56" s="958" t="s">
        <v>828</v>
      </c>
      <c r="D56" s="1207"/>
      <c r="E56" s="1090"/>
      <c r="F56" s="1073">
        <v>10</v>
      </c>
      <c r="G56" s="960">
        <f t="shared" si="6"/>
        <v>0</v>
      </c>
      <c r="H56" s="928">
        <f t="shared" si="7"/>
        <v>0</v>
      </c>
    </row>
    <row r="57" spans="2:8" s="755" customFormat="1" x14ac:dyDescent="0.2">
      <c r="B57" s="1206"/>
      <c r="C57" s="958" t="s">
        <v>829</v>
      </c>
      <c r="D57" s="1207"/>
      <c r="E57" s="1090"/>
      <c r="F57" s="1073">
        <v>10</v>
      </c>
      <c r="G57" s="960">
        <f t="shared" si="6"/>
        <v>0</v>
      </c>
      <c r="H57" s="928">
        <f t="shared" si="7"/>
        <v>0</v>
      </c>
    </row>
    <row r="58" spans="2:8" s="755" customFormat="1" x14ac:dyDescent="0.2">
      <c r="B58" s="1206"/>
      <c r="C58" s="958" t="s">
        <v>830</v>
      </c>
      <c r="D58" s="1207"/>
      <c r="E58" s="1090"/>
      <c r="F58" s="1073">
        <v>10</v>
      </c>
      <c r="G58" s="960">
        <f t="shared" si="6"/>
        <v>0</v>
      </c>
      <c r="H58" s="928">
        <f t="shared" si="7"/>
        <v>0</v>
      </c>
    </row>
    <row r="59" spans="2:8" s="755" customFormat="1" x14ac:dyDescent="0.2">
      <c r="B59" s="1208"/>
      <c r="C59" s="1171"/>
      <c r="D59" s="1212"/>
      <c r="E59" s="1075"/>
      <c r="F59" s="867" t="s">
        <v>283</v>
      </c>
      <c r="G59" s="820">
        <f>SUM(G49:G58)</f>
        <v>0</v>
      </c>
      <c r="H59" s="821">
        <f>SUM(H49:H58)</f>
        <v>0</v>
      </c>
    </row>
  </sheetData>
  <sheetProtection password="DED6" sheet="1" objects="1" scenarios="1" formatCells="0" formatColumns="0" formatRows="0" insertColumns="0" insertRows="0" insertHyperlinks="0"/>
  <mergeCells count="1">
    <mergeCell ref="C6:H6"/>
  </mergeCells>
  <pageMargins left="0.74803149606299213" right="0.74803149606299213" top="0.59055118110236227" bottom="0.39370078740157483" header="0.19685039370078741" footer="0.19685039370078741"/>
  <pageSetup paperSize="9" orientation="landscape" r:id="rId1"/>
  <headerFooter alignWithMargins="0">
    <oddHeader>&amp;Rส่วนที่ 4 การคำนวณภาระงานทำนุบำรุงศิลปวัฒนธรรม  หน้าที่ &amp;P/&amp;N</oddHeader>
    <oddFooter>&amp;LAPS v.4.4 ข้าราชการ&amp;Cหน้าที่ &amp;P/&amp;N</oddFooter>
  </headerFooter>
  <rowBreaks count="1" manualBreakCount="1">
    <brk id="33" min="1" max="7" man="1"/>
  </rowBreaks>
  <colBreaks count="1" manualBreakCount="1">
    <brk id="8" min="1" max="5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29"/>
  </sheetPr>
  <dimension ref="B2:K114"/>
  <sheetViews>
    <sheetView showGridLines="0" zoomScaleNormal="100" workbookViewId="0">
      <selection activeCell="L15" sqref="L15"/>
    </sheetView>
  </sheetViews>
  <sheetFormatPr defaultRowHeight="12.75" x14ac:dyDescent="0.2"/>
  <cols>
    <col min="1" max="1" width="1.375" style="1035" customWidth="1"/>
    <col min="2" max="2" width="4.875" style="1035" customWidth="1"/>
    <col min="3" max="3" width="13.375" style="1035" customWidth="1"/>
    <col min="4" max="4" width="42.125" style="1035" customWidth="1"/>
    <col min="5" max="5" width="12.5" style="1035" customWidth="1"/>
    <col min="6" max="6" width="12.125" style="1035" customWidth="1"/>
    <col min="7" max="7" width="13.125" style="1035" customWidth="1"/>
    <col min="8" max="8" width="12.625" style="1035" customWidth="1"/>
    <col min="9" max="10" width="9" style="1035"/>
    <col min="11" max="11" width="8" style="1036" customWidth="1"/>
    <col min="12" max="257" width="9" style="1035"/>
    <col min="258" max="258" width="4.875" style="1035" customWidth="1"/>
    <col min="259" max="259" width="13.375" style="1035" customWidth="1"/>
    <col min="260" max="260" width="42.125" style="1035" customWidth="1"/>
    <col min="261" max="261" width="12.5" style="1035" customWidth="1"/>
    <col min="262" max="262" width="12.125" style="1035" customWidth="1"/>
    <col min="263" max="263" width="13.125" style="1035" customWidth="1"/>
    <col min="264" max="264" width="12.625" style="1035" customWidth="1"/>
    <col min="265" max="513" width="9" style="1035"/>
    <col min="514" max="514" width="4.875" style="1035" customWidth="1"/>
    <col min="515" max="515" width="13.375" style="1035" customWidth="1"/>
    <col min="516" max="516" width="42.125" style="1035" customWidth="1"/>
    <col min="517" max="517" width="12.5" style="1035" customWidth="1"/>
    <col min="518" max="518" width="12.125" style="1035" customWidth="1"/>
    <col min="519" max="519" width="13.125" style="1035" customWidth="1"/>
    <col min="520" max="520" width="12.625" style="1035" customWidth="1"/>
    <col min="521" max="769" width="9" style="1035"/>
    <col min="770" max="770" width="4.875" style="1035" customWidth="1"/>
    <col min="771" max="771" width="13.375" style="1035" customWidth="1"/>
    <col min="772" max="772" width="42.125" style="1035" customWidth="1"/>
    <col min="773" max="773" width="12.5" style="1035" customWidth="1"/>
    <col min="774" max="774" width="12.125" style="1035" customWidth="1"/>
    <col min="775" max="775" width="13.125" style="1035" customWidth="1"/>
    <col min="776" max="776" width="12.625" style="1035" customWidth="1"/>
    <col min="777" max="1025" width="9" style="1035"/>
    <col min="1026" max="1026" width="4.875" style="1035" customWidth="1"/>
    <col min="1027" max="1027" width="13.375" style="1035" customWidth="1"/>
    <col min="1028" max="1028" width="42.125" style="1035" customWidth="1"/>
    <col min="1029" max="1029" width="12.5" style="1035" customWidth="1"/>
    <col min="1030" max="1030" width="12.125" style="1035" customWidth="1"/>
    <col min="1031" max="1031" width="13.125" style="1035" customWidth="1"/>
    <col min="1032" max="1032" width="12.625" style="1035" customWidth="1"/>
    <col min="1033" max="1281" width="9" style="1035"/>
    <col min="1282" max="1282" width="4.875" style="1035" customWidth="1"/>
    <col min="1283" max="1283" width="13.375" style="1035" customWidth="1"/>
    <col min="1284" max="1284" width="42.125" style="1035" customWidth="1"/>
    <col min="1285" max="1285" width="12.5" style="1035" customWidth="1"/>
    <col min="1286" max="1286" width="12.125" style="1035" customWidth="1"/>
    <col min="1287" max="1287" width="13.125" style="1035" customWidth="1"/>
    <col min="1288" max="1288" width="12.625" style="1035" customWidth="1"/>
    <col min="1289" max="1537" width="9" style="1035"/>
    <col min="1538" max="1538" width="4.875" style="1035" customWidth="1"/>
    <col min="1539" max="1539" width="13.375" style="1035" customWidth="1"/>
    <col min="1540" max="1540" width="42.125" style="1035" customWidth="1"/>
    <col min="1541" max="1541" width="12.5" style="1035" customWidth="1"/>
    <col min="1542" max="1542" width="12.125" style="1035" customWidth="1"/>
    <col min="1543" max="1543" width="13.125" style="1035" customWidth="1"/>
    <col min="1544" max="1544" width="12.625" style="1035" customWidth="1"/>
    <col min="1545" max="1793" width="9" style="1035"/>
    <col min="1794" max="1794" width="4.875" style="1035" customWidth="1"/>
    <col min="1795" max="1795" width="13.375" style="1035" customWidth="1"/>
    <col min="1796" max="1796" width="42.125" style="1035" customWidth="1"/>
    <col min="1797" max="1797" width="12.5" style="1035" customWidth="1"/>
    <col min="1798" max="1798" width="12.125" style="1035" customWidth="1"/>
    <col min="1799" max="1799" width="13.125" style="1035" customWidth="1"/>
    <col min="1800" max="1800" width="12.625" style="1035" customWidth="1"/>
    <col min="1801" max="2049" width="9" style="1035"/>
    <col min="2050" max="2050" width="4.875" style="1035" customWidth="1"/>
    <col min="2051" max="2051" width="13.375" style="1035" customWidth="1"/>
    <col min="2052" max="2052" width="42.125" style="1035" customWidth="1"/>
    <col min="2053" max="2053" width="12.5" style="1035" customWidth="1"/>
    <col min="2054" max="2054" width="12.125" style="1035" customWidth="1"/>
    <col min="2055" max="2055" width="13.125" style="1035" customWidth="1"/>
    <col min="2056" max="2056" width="12.625" style="1035" customWidth="1"/>
    <col min="2057" max="2305" width="9" style="1035"/>
    <col min="2306" max="2306" width="4.875" style="1035" customWidth="1"/>
    <col min="2307" max="2307" width="13.375" style="1035" customWidth="1"/>
    <col min="2308" max="2308" width="42.125" style="1035" customWidth="1"/>
    <col min="2309" max="2309" width="12.5" style="1035" customWidth="1"/>
    <col min="2310" max="2310" width="12.125" style="1035" customWidth="1"/>
    <col min="2311" max="2311" width="13.125" style="1035" customWidth="1"/>
    <col min="2312" max="2312" width="12.625" style="1035" customWidth="1"/>
    <col min="2313" max="2561" width="9" style="1035"/>
    <col min="2562" max="2562" width="4.875" style="1035" customWidth="1"/>
    <col min="2563" max="2563" width="13.375" style="1035" customWidth="1"/>
    <col min="2564" max="2564" width="42.125" style="1035" customWidth="1"/>
    <col min="2565" max="2565" width="12.5" style="1035" customWidth="1"/>
    <col min="2566" max="2566" width="12.125" style="1035" customWidth="1"/>
    <col min="2567" max="2567" width="13.125" style="1035" customWidth="1"/>
    <col min="2568" max="2568" width="12.625" style="1035" customWidth="1"/>
    <col min="2569" max="2817" width="9" style="1035"/>
    <col min="2818" max="2818" width="4.875" style="1035" customWidth="1"/>
    <col min="2819" max="2819" width="13.375" style="1035" customWidth="1"/>
    <col min="2820" max="2820" width="42.125" style="1035" customWidth="1"/>
    <col min="2821" max="2821" width="12.5" style="1035" customWidth="1"/>
    <col min="2822" max="2822" width="12.125" style="1035" customWidth="1"/>
    <col min="2823" max="2823" width="13.125" style="1035" customWidth="1"/>
    <col min="2824" max="2824" width="12.625" style="1035" customWidth="1"/>
    <col min="2825" max="3073" width="9" style="1035"/>
    <col min="3074" max="3074" width="4.875" style="1035" customWidth="1"/>
    <col min="3075" max="3075" width="13.375" style="1035" customWidth="1"/>
    <col min="3076" max="3076" width="42.125" style="1035" customWidth="1"/>
    <col min="3077" max="3077" width="12.5" style="1035" customWidth="1"/>
    <col min="3078" max="3078" width="12.125" style="1035" customWidth="1"/>
    <col min="3079" max="3079" width="13.125" style="1035" customWidth="1"/>
    <col min="3080" max="3080" width="12.625" style="1035" customWidth="1"/>
    <col min="3081" max="3329" width="9" style="1035"/>
    <col min="3330" max="3330" width="4.875" style="1035" customWidth="1"/>
    <col min="3331" max="3331" width="13.375" style="1035" customWidth="1"/>
    <col min="3332" max="3332" width="42.125" style="1035" customWidth="1"/>
    <col min="3333" max="3333" width="12.5" style="1035" customWidth="1"/>
    <col min="3334" max="3334" width="12.125" style="1035" customWidth="1"/>
    <col min="3335" max="3335" width="13.125" style="1035" customWidth="1"/>
    <col min="3336" max="3336" width="12.625" style="1035" customWidth="1"/>
    <col min="3337" max="3585" width="9" style="1035"/>
    <col min="3586" max="3586" width="4.875" style="1035" customWidth="1"/>
    <col min="3587" max="3587" width="13.375" style="1035" customWidth="1"/>
    <col min="3588" max="3588" width="42.125" style="1035" customWidth="1"/>
    <col min="3589" max="3589" width="12.5" style="1035" customWidth="1"/>
    <col min="3590" max="3590" width="12.125" style="1035" customWidth="1"/>
    <col min="3591" max="3591" width="13.125" style="1035" customWidth="1"/>
    <col min="3592" max="3592" width="12.625" style="1035" customWidth="1"/>
    <col min="3593" max="3841" width="9" style="1035"/>
    <col min="3842" max="3842" width="4.875" style="1035" customWidth="1"/>
    <col min="3843" max="3843" width="13.375" style="1035" customWidth="1"/>
    <col min="3844" max="3844" width="42.125" style="1035" customWidth="1"/>
    <col min="3845" max="3845" width="12.5" style="1035" customWidth="1"/>
    <col min="3846" max="3846" width="12.125" style="1035" customWidth="1"/>
    <col min="3847" max="3847" width="13.125" style="1035" customWidth="1"/>
    <col min="3848" max="3848" width="12.625" style="1035" customWidth="1"/>
    <col min="3849" max="4097" width="9" style="1035"/>
    <col min="4098" max="4098" width="4.875" style="1035" customWidth="1"/>
    <col min="4099" max="4099" width="13.375" style="1035" customWidth="1"/>
    <col min="4100" max="4100" width="42.125" style="1035" customWidth="1"/>
    <col min="4101" max="4101" width="12.5" style="1035" customWidth="1"/>
    <col min="4102" max="4102" width="12.125" style="1035" customWidth="1"/>
    <col min="4103" max="4103" width="13.125" style="1035" customWidth="1"/>
    <col min="4104" max="4104" width="12.625" style="1035" customWidth="1"/>
    <col min="4105" max="4353" width="9" style="1035"/>
    <col min="4354" max="4354" width="4.875" style="1035" customWidth="1"/>
    <col min="4355" max="4355" width="13.375" style="1035" customWidth="1"/>
    <col min="4356" max="4356" width="42.125" style="1035" customWidth="1"/>
    <col min="4357" max="4357" width="12.5" style="1035" customWidth="1"/>
    <col min="4358" max="4358" width="12.125" style="1035" customWidth="1"/>
    <col min="4359" max="4359" width="13.125" style="1035" customWidth="1"/>
    <col min="4360" max="4360" width="12.625" style="1035" customWidth="1"/>
    <col min="4361" max="4609" width="9" style="1035"/>
    <col min="4610" max="4610" width="4.875" style="1035" customWidth="1"/>
    <col min="4611" max="4611" width="13.375" style="1035" customWidth="1"/>
    <col min="4612" max="4612" width="42.125" style="1035" customWidth="1"/>
    <col min="4613" max="4613" width="12.5" style="1035" customWidth="1"/>
    <col min="4614" max="4614" width="12.125" style="1035" customWidth="1"/>
    <col min="4615" max="4615" width="13.125" style="1035" customWidth="1"/>
    <col min="4616" max="4616" width="12.625" style="1035" customWidth="1"/>
    <col min="4617" max="4865" width="9" style="1035"/>
    <col min="4866" max="4866" width="4.875" style="1035" customWidth="1"/>
    <col min="4867" max="4867" width="13.375" style="1035" customWidth="1"/>
    <col min="4868" max="4868" width="42.125" style="1035" customWidth="1"/>
    <col min="4869" max="4869" width="12.5" style="1035" customWidth="1"/>
    <col min="4870" max="4870" width="12.125" style="1035" customWidth="1"/>
    <col min="4871" max="4871" width="13.125" style="1035" customWidth="1"/>
    <col min="4872" max="4872" width="12.625" style="1035" customWidth="1"/>
    <col min="4873" max="5121" width="9" style="1035"/>
    <col min="5122" max="5122" width="4.875" style="1035" customWidth="1"/>
    <col min="5123" max="5123" width="13.375" style="1035" customWidth="1"/>
    <col min="5124" max="5124" width="42.125" style="1035" customWidth="1"/>
    <col min="5125" max="5125" width="12.5" style="1035" customWidth="1"/>
    <col min="5126" max="5126" width="12.125" style="1035" customWidth="1"/>
    <col min="5127" max="5127" width="13.125" style="1035" customWidth="1"/>
    <col min="5128" max="5128" width="12.625" style="1035" customWidth="1"/>
    <col min="5129" max="5377" width="9" style="1035"/>
    <col min="5378" max="5378" width="4.875" style="1035" customWidth="1"/>
    <col min="5379" max="5379" width="13.375" style="1035" customWidth="1"/>
    <col min="5380" max="5380" width="42.125" style="1035" customWidth="1"/>
    <col min="5381" max="5381" width="12.5" style="1035" customWidth="1"/>
    <col min="5382" max="5382" width="12.125" style="1035" customWidth="1"/>
    <col min="5383" max="5383" width="13.125" style="1035" customWidth="1"/>
    <col min="5384" max="5384" width="12.625" style="1035" customWidth="1"/>
    <col min="5385" max="5633" width="9" style="1035"/>
    <col min="5634" max="5634" width="4.875" style="1035" customWidth="1"/>
    <col min="5635" max="5635" width="13.375" style="1035" customWidth="1"/>
    <col min="5636" max="5636" width="42.125" style="1035" customWidth="1"/>
    <col min="5637" max="5637" width="12.5" style="1035" customWidth="1"/>
    <col min="5638" max="5638" width="12.125" style="1035" customWidth="1"/>
    <col min="5639" max="5639" width="13.125" style="1035" customWidth="1"/>
    <col min="5640" max="5640" width="12.625" style="1035" customWidth="1"/>
    <col min="5641" max="5889" width="9" style="1035"/>
    <col min="5890" max="5890" width="4.875" style="1035" customWidth="1"/>
    <col min="5891" max="5891" width="13.375" style="1035" customWidth="1"/>
    <col min="5892" max="5892" width="42.125" style="1035" customWidth="1"/>
    <col min="5893" max="5893" width="12.5" style="1035" customWidth="1"/>
    <col min="5894" max="5894" width="12.125" style="1035" customWidth="1"/>
    <col min="5895" max="5895" width="13.125" style="1035" customWidth="1"/>
    <col min="5896" max="5896" width="12.625" style="1035" customWidth="1"/>
    <col min="5897" max="6145" width="9" style="1035"/>
    <col min="6146" max="6146" width="4.875" style="1035" customWidth="1"/>
    <col min="6147" max="6147" width="13.375" style="1035" customWidth="1"/>
    <col min="6148" max="6148" width="42.125" style="1035" customWidth="1"/>
    <col min="6149" max="6149" width="12.5" style="1035" customWidth="1"/>
    <col min="6150" max="6150" width="12.125" style="1035" customWidth="1"/>
    <col min="6151" max="6151" width="13.125" style="1035" customWidth="1"/>
    <col min="6152" max="6152" width="12.625" style="1035" customWidth="1"/>
    <col min="6153" max="6401" width="9" style="1035"/>
    <col min="6402" max="6402" width="4.875" style="1035" customWidth="1"/>
    <col min="6403" max="6403" width="13.375" style="1035" customWidth="1"/>
    <col min="6404" max="6404" width="42.125" style="1035" customWidth="1"/>
    <col min="6405" max="6405" width="12.5" style="1035" customWidth="1"/>
    <col min="6406" max="6406" width="12.125" style="1035" customWidth="1"/>
    <col min="6407" max="6407" width="13.125" style="1035" customWidth="1"/>
    <col min="6408" max="6408" width="12.625" style="1035" customWidth="1"/>
    <col min="6409" max="6657" width="9" style="1035"/>
    <col min="6658" max="6658" width="4.875" style="1035" customWidth="1"/>
    <col min="6659" max="6659" width="13.375" style="1035" customWidth="1"/>
    <col min="6660" max="6660" width="42.125" style="1035" customWidth="1"/>
    <col min="6661" max="6661" width="12.5" style="1035" customWidth="1"/>
    <col min="6662" max="6662" width="12.125" style="1035" customWidth="1"/>
    <col min="6663" max="6663" width="13.125" style="1035" customWidth="1"/>
    <col min="6664" max="6664" width="12.625" style="1035" customWidth="1"/>
    <col min="6665" max="6913" width="9" style="1035"/>
    <col min="6914" max="6914" width="4.875" style="1035" customWidth="1"/>
    <col min="6915" max="6915" width="13.375" style="1035" customWidth="1"/>
    <col min="6916" max="6916" width="42.125" style="1035" customWidth="1"/>
    <col min="6917" max="6917" width="12.5" style="1035" customWidth="1"/>
    <col min="6918" max="6918" width="12.125" style="1035" customWidth="1"/>
    <col min="6919" max="6919" width="13.125" style="1035" customWidth="1"/>
    <col min="6920" max="6920" width="12.625" style="1035" customWidth="1"/>
    <col min="6921" max="7169" width="9" style="1035"/>
    <col min="7170" max="7170" width="4.875" style="1035" customWidth="1"/>
    <col min="7171" max="7171" width="13.375" style="1035" customWidth="1"/>
    <col min="7172" max="7172" width="42.125" style="1035" customWidth="1"/>
    <col min="7173" max="7173" width="12.5" style="1035" customWidth="1"/>
    <col min="7174" max="7174" width="12.125" style="1035" customWidth="1"/>
    <col min="7175" max="7175" width="13.125" style="1035" customWidth="1"/>
    <col min="7176" max="7176" width="12.625" style="1035" customWidth="1"/>
    <col min="7177" max="7425" width="9" style="1035"/>
    <col min="7426" max="7426" width="4.875" style="1035" customWidth="1"/>
    <col min="7427" max="7427" width="13.375" style="1035" customWidth="1"/>
    <col min="7428" max="7428" width="42.125" style="1035" customWidth="1"/>
    <col min="7429" max="7429" width="12.5" style="1035" customWidth="1"/>
    <col min="7430" max="7430" width="12.125" style="1035" customWidth="1"/>
    <col min="7431" max="7431" width="13.125" style="1035" customWidth="1"/>
    <col min="7432" max="7432" width="12.625" style="1035" customWidth="1"/>
    <col min="7433" max="7681" width="9" style="1035"/>
    <col min="7682" max="7682" width="4.875" style="1035" customWidth="1"/>
    <col min="7683" max="7683" width="13.375" style="1035" customWidth="1"/>
    <col min="7684" max="7684" width="42.125" style="1035" customWidth="1"/>
    <col min="7685" max="7685" width="12.5" style="1035" customWidth="1"/>
    <col min="7686" max="7686" width="12.125" style="1035" customWidth="1"/>
    <col min="7687" max="7687" width="13.125" style="1035" customWidth="1"/>
    <col min="7688" max="7688" width="12.625" style="1035" customWidth="1"/>
    <col min="7689" max="7937" width="9" style="1035"/>
    <col min="7938" max="7938" width="4.875" style="1035" customWidth="1"/>
    <col min="7939" max="7939" width="13.375" style="1035" customWidth="1"/>
    <col min="7940" max="7940" width="42.125" style="1035" customWidth="1"/>
    <col min="7941" max="7941" width="12.5" style="1035" customWidth="1"/>
    <col min="7942" max="7942" width="12.125" style="1035" customWidth="1"/>
    <col min="7943" max="7943" width="13.125" style="1035" customWidth="1"/>
    <col min="7944" max="7944" width="12.625" style="1035" customWidth="1"/>
    <col min="7945" max="8193" width="9" style="1035"/>
    <col min="8194" max="8194" width="4.875" style="1035" customWidth="1"/>
    <col min="8195" max="8195" width="13.375" style="1035" customWidth="1"/>
    <col min="8196" max="8196" width="42.125" style="1035" customWidth="1"/>
    <col min="8197" max="8197" width="12.5" style="1035" customWidth="1"/>
    <col min="8198" max="8198" width="12.125" style="1035" customWidth="1"/>
    <col min="8199" max="8199" width="13.125" style="1035" customWidth="1"/>
    <col min="8200" max="8200" width="12.625" style="1035" customWidth="1"/>
    <col min="8201" max="8449" width="9" style="1035"/>
    <col min="8450" max="8450" width="4.875" style="1035" customWidth="1"/>
    <col min="8451" max="8451" width="13.375" style="1035" customWidth="1"/>
    <col min="8452" max="8452" width="42.125" style="1035" customWidth="1"/>
    <col min="8453" max="8453" width="12.5" style="1035" customWidth="1"/>
    <col min="8454" max="8454" width="12.125" style="1035" customWidth="1"/>
    <col min="8455" max="8455" width="13.125" style="1035" customWidth="1"/>
    <col min="8456" max="8456" width="12.625" style="1035" customWidth="1"/>
    <col min="8457" max="8705" width="9" style="1035"/>
    <col min="8706" max="8706" width="4.875" style="1035" customWidth="1"/>
    <col min="8707" max="8707" width="13.375" style="1035" customWidth="1"/>
    <col min="8708" max="8708" width="42.125" style="1035" customWidth="1"/>
    <col min="8709" max="8709" width="12.5" style="1035" customWidth="1"/>
    <col min="8710" max="8710" width="12.125" style="1035" customWidth="1"/>
    <col min="8711" max="8711" width="13.125" style="1035" customWidth="1"/>
    <col min="8712" max="8712" width="12.625" style="1035" customWidth="1"/>
    <col min="8713" max="8961" width="9" style="1035"/>
    <col min="8962" max="8962" width="4.875" style="1035" customWidth="1"/>
    <col min="8963" max="8963" width="13.375" style="1035" customWidth="1"/>
    <col min="8964" max="8964" width="42.125" style="1035" customWidth="1"/>
    <col min="8965" max="8965" width="12.5" style="1035" customWidth="1"/>
    <col min="8966" max="8966" width="12.125" style="1035" customWidth="1"/>
    <col min="8967" max="8967" width="13.125" style="1035" customWidth="1"/>
    <col min="8968" max="8968" width="12.625" style="1035" customWidth="1"/>
    <col min="8969" max="9217" width="9" style="1035"/>
    <col min="9218" max="9218" width="4.875" style="1035" customWidth="1"/>
    <col min="9219" max="9219" width="13.375" style="1035" customWidth="1"/>
    <col min="9220" max="9220" width="42.125" style="1035" customWidth="1"/>
    <col min="9221" max="9221" width="12.5" style="1035" customWidth="1"/>
    <col min="9222" max="9222" width="12.125" style="1035" customWidth="1"/>
    <col min="9223" max="9223" width="13.125" style="1035" customWidth="1"/>
    <col min="9224" max="9224" width="12.625" style="1035" customWidth="1"/>
    <col min="9225" max="9473" width="9" style="1035"/>
    <col min="9474" max="9474" width="4.875" style="1035" customWidth="1"/>
    <col min="9475" max="9475" width="13.375" style="1035" customWidth="1"/>
    <col min="9476" max="9476" width="42.125" style="1035" customWidth="1"/>
    <col min="9477" max="9477" width="12.5" style="1035" customWidth="1"/>
    <col min="9478" max="9478" width="12.125" style="1035" customWidth="1"/>
    <col min="9479" max="9479" width="13.125" style="1035" customWidth="1"/>
    <col min="9480" max="9480" width="12.625" style="1035" customWidth="1"/>
    <col min="9481" max="9729" width="9" style="1035"/>
    <col min="9730" max="9730" width="4.875" style="1035" customWidth="1"/>
    <col min="9731" max="9731" width="13.375" style="1035" customWidth="1"/>
    <col min="9732" max="9732" width="42.125" style="1035" customWidth="1"/>
    <col min="9733" max="9733" width="12.5" style="1035" customWidth="1"/>
    <col min="9734" max="9734" width="12.125" style="1035" customWidth="1"/>
    <col min="9735" max="9735" width="13.125" style="1035" customWidth="1"/>
    <col min="9736" max="9736" width="12.625" style="1035" customWidth="1"/>
    <col min="9737" max="9985" width="9" style="1035"/>
    <col min="9986" max="9986" width="4.875" style="1035" customWidth="1"/>
    <col min="9987" max="9987" width="13.375" style="1035" customWidth="1"/>
    <col min="9988" max="9988" width="42.125" style="1035" customWidth="1"/>
    <col min="9989" max="9989" width="12.5" style="1035" customWidth="1"/>
    <col min="9990" max="9990" width="12.125" style="1035" customWidth="1"/>
    <col min="9991" max="9991" width="13.125" style="1035" customWidth="1"/>
    <col min="9992" max="9992" width="12.625" style="1035" customWidth="1"/>
    <col min="9993" max="10241" width="9" style="1035"/>
    <col min="10242" max="10242" width="4.875" style="1035" customWidth="1"/>
    <col min="10243" max="10243" width="13.375" style="1035" customWidth="1"/>
    <col min="10244" max="10244" width="42.125" style="1035" customWidth="1"/>
    <col min="10245" max="10245" width="12.5" style="1035" customWidth="1"/>
    <col min="10246" max="10246" width="12.125" style="1035" customWidth="1"/>
    <col min="10247" max="10247" width="13.125" style="1035" customWidth="1"/>
    <col min="10248" max="10248" width="12.625" style="1035" customWidth="1"/>
    <col min="10249" max="10497" width="9" style="1035"/>
    <col min="10498" max="10498" width="4.875" style="1035" customWidth="1"/>
    <col min="10499" max="10499" width="13.375" style="1035" customWidth="1"/>
    <col min="10500" max="10500" width="42.125" style="1035" customWidth="1"/>
    <col min="10501" max="10501" width="12.5" style="1035" customWidth="1"/>
    <col min="10502" max="10502" width="12.125" style="1035" customWidth="1"/>
    <col min="10503" max="10503" width="13.125" style="1035" customWidth="1"/>
    <col min="10504" max="10504" width="12.625" style="1035" customWidth="1"/>
    <col min="10505" max="10753" width="9" style="1035"/>
    <col min="10754" max="10754" width="4.875" style="1035" customWidth="1"/>
    <col min="10755" max="10755" width="13.375" style="1035" customWidth="1"/>
    <col min="10756" max="10756" width="42.125" style="1035" customWidth="1"/>
    <col min="10757" max="10757" width="12.5" style="1035" customWidth="1"/>
    <col min="10758" max="10758" width="12.125" style="1035" customWidth="1"/>
    <col min="10759" max="10759" width="13.125" style="1035" customWidth="1"/>
    <col min="10760" max="10760" width="12.625" style="1035" customWidth="1"/>
    <col min="10761" max="11009" width="9" style="1035"/>
    <col min="11010" max="11010" width="4.875" style="1035" customWidth="1"/>
    <col min="11011" max="11011" width="13.375" style="1035" customWidth="1"/>
    <col min="11012" max="11012" width="42.125" style="1035" customWidth="1"/>
    <col min="11013" max="11013" width="12.5" style="1035" customWidth="1"/>
    <col min="11014" max="11014" width="12.125" style="1035" customWidth="1"/>
    <col min="11015" max="11015" width="13.125" style="1035" customWidth="1"/>
    <col min="11016" max="11016" width="12.625" style="1035" customWidth="1"/>
    <col min="11017" max="11265" width="9" style="1035"/>
    <col min="11266" max="11266" width="4.875" style="1035" customWidth="1"/>
    <col min="11267" max="11267" width="13.375" style="1035" customWidth="1"/>
    <col min="11268" max="11268" width="42.125" style="1035" customWidth="1"/>
    <col min="11269" max="11269" width="12.5" style="1035" customWidth="1"/>
    <col min="11270" max="11270" width="12.125" style="1035" customWidth="1"/>
    <col min="11271" max="11271" width="13.125" style="1035" customWidth="1"/>
    <col min="11272" max="11272" width="12.625" style="1035" customWidth="1"/>
    <col min="11273" max="11521" width="9" style="1035"/>
    <col min="11522" max="11522" width="4.875" style="1035" customWidth="1"/>
    <col min="11523" max="11523" width="13.375" style="1035" customWidth="1"/>
    <col min="11524" max="11524" width="42.125" style="1035" customWidth="1"/>
    <col min="11525" max="11525" width="12.5" style="1035" customWidth="1"/>
    <col min="11526" max="11526" width="12.125" style="1035" customWidth="1"/>
    <col min="11527" max="11527" width="13.125" style="1035" customWidth="1"/>
    <col min="11528" max="11528" width="12.625" style="1035" customWidth="1"/>
    <col min="11529" max="11777" width="9" style="1035"/>
    <col min="11778" max="11778" width="4.875" style="1035" customWidth="1"/>
    <col min="11779" max="11779" width="13.375" style="1035" customWidth="1"/>
    <col min="11780" max="11780" width="42.125" style="1035" customWidth="1"/>
    <col min="11781" max="11781" width="12.5" style="1035" customWidth="1"/>
    <col min="11782" max="11782" width="12.125" style="1035" customWidth="1"/>
    <col min="11783" max="11783" width="13.125" style="1035" customWidth="1"/>
    <col min="11784" max="11784" width="12.625" style="1035" customWidth="1"/>
    <col min="11785" max="12033" width="9" style="1035"/>
    <col min="12034" max="12034" width="4.875" style="1035" customWidth="1"/>
    <col min="12035" max="12035" width="13.375" style="1035" customWidth="1"/>
    <col min="12036" max="12036" width="42.125" style="1035" customWidth="1"/>
    <col min="12037" max="12037" width="12.5" style="1035" customWidth="1"/>
    <col min="12038" max="12038" width="12.125" style="1035" customWidth="1"/>
    <col min="12039" max="12039" width="13.125" style="1035" customWidth="1"/>
    <col min="12040" max="12040" width="12.625" style="1035" customWidth="1"/>
    <col min="12041" max="12289" width="9" style="1035"/>
    <col min="12290" max="12290" width="4.875" style="1035" customWidth="1"/>
    <col min="12291" max="12291" width="13.375" style="1035" customWidth="1"/>
    <col min="12292" max="12292" width="42.125" style="1035" customWidth="1"/>
    <col min="12293" max="12293" width="12.5" style="1035" customWidth="1"/>
    <col min="12294" max="12294" width="12.125" style="1035" customWidth="1"/>
    <col min="12295" max="12295" width="13.125" style="1035" customWidth="1"/>
    <col min="12296" max="12296" width="12.625" style="1035" customWidth="1"/>
    <col min="12297" max="12545" width="9" style="1035"/>
    <col min="12546" max="12546" width="4.875" style="1035" customWidth="1"/>
    <col min="12547" max="12547" width="13.375" style="1035" customWidth="1"/>
    <col min="12548" max="12548" width="42.125" style="1035" customWidth="1"/>
    <col min="12549" max="12549" width="12.5" style="1035" customWidth="1"/>
    <col min="12550" max="12550" width="12.125" style="1035" customWidth="1"/>
    <col min="12551" max="12551" width="13.125" style="1035" customWidth="1"/>
    <col min="12552" max="12552" width="12.625" style="1035" customWidth="1"/>
    <col min="12553" max="12801" width="9" style="1035"/>
    <col min="12802" max="12802" width="4.875" style="1035" customWidth="1"/>
    <col min="12803" max="12803" width="13.375" style="1035" customWidth="1"/>
    <col min="12804" max="12804" width="42.125" style="1035" customWidth="1"/>
    <col min="12805" max="12805" width="12.5" style="1035" customWidth="1"/>
    <col min="12806" max="12806" width="12.125" style="1035" customWidth="1"/>
    <col min="12807" max="12807" width="13.125" style="1035" customWidth="1"/>
    <col min="12808" max="12808" width="12.625" style="1035" customWidth="1"/>
    <col min="12809" max="13057" width="9" style="1035"/>
    <col min="13058" max="13058" width="4.875" style="1035" customWidth="1"/>
    <col min="13059" max="13059" width="13.375" style="1035" customWidth="1"/>
    <col min="13060" max="13060" width="42.125" style="1035" customWidth="1"/>
    <col min="13061" max="13061" width="12.5" style="1035" customWidth="1"/>
    <col min="13062" max="13062" width="12.125" style="1035" customWidth="1"/>
    <col min="13063" max="13063" width="13.125" style="1035" customWidth="1"/>
    <col min="13064" max="13064" width="12.625" style="1035" customWidth="1"/>
    <col min="13065" max="13313" width="9" style="1035"/>
    <col min="13314" max="13314" width="4.875" style="1035" customWidth="1"/>
    <col min="13315" max="13315" width="13.375" style="1035" customWidth="1"/>
    <col min="13316" max="13316" width="42.125" style="1035" customWidth="1"/>
    <col min="13317" max="13317" width="12.5" style="1035" customWidth="1"/>
    <col min="13318" max="13318" width="12.125" style="1035" customWidth="1"/>
    <col min="13319" max="13319" width="13.125" style="1035" customWidth="1"/>
    <col min="13320" max="13320" width="12.625" style="1035" customWidth="1"/>
    <col min="13321" max="13569" width="9" style="1035"/>
    <col min="13570" max="13570" width="4.875" style="1035" customWidth="1"/>
    <col min="13571" max="13571" width="13.375" style="1035" customWidth="1"/>
    <col min="13572" max="13572" width="42.125" style="1035" customWidth="1"/>
    <col min="13573" max="13573" width="12.5" style="1035" customWidth="1"/>
    <col min="13574" max="13574" width="12.125" style="1035" customWidth="1"/>
    <col min="13575" max="13575" width="13.125" style="1035" customWidth="1"/>
    <col min="13576" max="13576" width="12.625" style="1035" customWidth="1"/>
    <col min="13577" max="13825" width="9" style="1035"/>
    <col min="13826" max="13826" width="4.875" style="1035" customWidth="1"/>
    <col min="13827" max="13827" width="13.375" style="1035" customWidth="1"/>
    <col min="13828" max="13828" width="42.125" style="1035" customWidth="1"/>
    <col min="13829" max="13829" width="12.5" style="1035" customWidth="1"/>
    <col min="13830" max="13830" width="12.125" style="1035" customWidth="1"/>
    <col min="13831" max="13831" width="13.125" style="1035" customWidth="1"/>
    <col min="13832" max="13832" width="12.625" style="1035" customWidth="1"/>
    <col min="13833" max="14081" width="9" style="1035"/>
    <col min="14082" max="14082" width="4.875" style="1035" customWidth="1"/>
    <col min="14083" max="14083" width="13.375" style="1035" customWidth="1"/>
    <col min="14084" max="14084" width="42.125" style="1035" customWidth="1"/>
    <col min="14085" max="14085" width="12.5" style="1035" customWidth="1"/>
    <col min="14086" max="14086" width="12.125" style="1035" customWidth="1"/>
    <col min="14087" max="14087" width="13.125" style="1035" customWidth="1"/>
    <col min="14088" max="14088" width="12.625" style="1035" customWidth="1"/>
    <col min="14089" max="14337" width="9" style="1035"/>
    <col min="14338" max="14338" width="4.875" style="1035" customWidth="1"/>
    <col min="14339" max="14339" width="13.375" style="1035" customWidth="1"/>
    <col min="14340" max="14340" width="42.125" style="1035" customWidth="1"/>
    <col min="14341" max="14341" width="12.5" style="1035" customWidth="1"/>
    <col min="14342" max="14342" width="12.125" style="1035" customWidth="1"/>
    <col min="14343" max="14343" width="13.125" style="1035" customWidth="1"/>
    <col min="14344" max="14344" width="12.625" style="1035" customWidth="1"/>
    <col min="14345" max="14593" width="9" style="1035"/>
    <col min="14594" max="14594" width="4.875" style="1035" customWidth="1"/>
    <col min="14595" max="14595" width="13.375" style="1035" customWidth="1"/>
    <col min="14596" max="14596" width="42.125" style="1035" customWidth="1"/>
    <col min="14597" max="14597" width="12.5" style="1035" customWidth="1"/>
    <col min="14598" max="14598" width="12.125" style="1035" customWidth="1"/>
    <col min="14599" max="14599" width="13.125" style="1035" customWidth="1"/>
    <col min="14600" max="14600" width="12.625" style="1035" customWidth="1"/>
    <col min="14601" max="14849" width="9" style="1035"/>
    <col min="14850" max="14850" width="4.875" style="1035" customWidth="1"/>
    <col min="14851" max="14851" width="13.375" style="1035" customWidth="1"/>
    <col min="14852" max="14852" width="42.125" style="1035" customWidth="1"/>
    <col min="14853" max="14853" width="12.5" style="1035" customWidth="1"/>
    <col min="14854" max="14854" width="12.125" style="1035" customWidth="1"/>
    <col min="14855" max="14855" width="13.125" style="1035" customWidth="1"/>
    <col min="14856" max="14856" width="12.625" style="1035" customWidth="1"/>
    <col min="14857" max="15105" width="9" style="1035"/>
    <col min="15106" max="15106" width="4.875" style="1035" customWidth="1"/>
    <col min="15107" max="15107" width="13.375" style="1035" customWidth="1"/>
    <col min="15108" max="15108" width="42.125" style="1035" customWidth="1"/>
    <col min="15109" max="15109" width="12.5" style="1035" customWidth="1"/>
    <col min="15110" max="15110" width="12.125" style="1035" customWidth="1"/>
    <col min="15111" max="15111" width="13.125" style="1035" customWidth="1"/>
    <col min="15112" max="15112" width="12.625" style="1035" customWidth="1"/>
    <col min="15113" max="15361" width="9" style="1035"/>
    <col min="15362" max="15362" width="4.875" style="1035" customWidth="1"/>
    <col min="15363" max="15363" width="13.375" style="1035" customWidth="1"/>
    <col min="15364" max="15364" width="42.125" style="1035" customWidth="1"/>
    <col min="15365" max="15365" width="12.5" style="1035" customWidth="1"/>
    <col min="15366" max="15366" width="12.125" style="1035" customWidth="1"/>
    <col min="15367" max="15367" width="13.125" style="1035" customWidth="1"/>
    <col min="15368" max="15368" width="12.625" style="1035" customWidth="1"/>
    <col min="15369" max="15617" width="9" style="1035"/>
    <col min="15618" max="15618" width="4.875" style="1035" customWidth="1"/>
    <col min="15619" max="15619" width="13.375" style="1035" customWidth="1"/>
    <col min="15620" max="15620" width="42.125" style="1035" customWidth="1"/>
    <col min="15621" max="15621" width="12.5" style="1035" customWidth="1"/>
    <col min="15622" max="15622" width="12.125" style="1035" customWidth="1"/>
    <col min="15623" max="15623" width="13.125" style="1035" customWidth="1"/>
    <col min="15624" max="15624" width="12.625" style="1035" customWidth="1"/>
    <col min="15625" max="15873" width="9" style="1035"/>
    <col min="15874" max="15874" width="4.875" style="1035" customWidth="1"/>
    <col min="15875" max="15875" width="13.375" style="1035" customWidth="1"/>
    <col min="15876" max="15876" width="42.125" style="1035" customWidth="1"/>
    <col min="15877" max="15877" width="12.5" style="1035" customWidth="1"/>
    <col min="15878" max="15878" width="12.125" style="1035" customWidth="1"/>
    <col min="15879" max="15879" width="13.125" style="1035" customWidth="1"/>
    <col min="15880" max="15880" width="12.625" style="1035" customWidth="1"/>
    <col min="15881" max="16129" width="9" style="1035"/>
    <col min="16130" max="16130" width="4.875" style="1035" customWidth="1"/>
    <col min="16131" max="16131" width="13.375" style="1035" customWidth="1"/>
    <col min="16132" max="16132" width="42.125" style="1035" customWidth="1"/>
    <col min="16133" max="16133" width="12.5" style="1035" customWidth="1"/>
    <col min="16134" max="16134" width="12.125" style="1035" customWidth="1"/>
    <col min="16135" max="16135" width="13.125" style="1035" customWidth="1"/>
    <col min="16136" max="16136" width="12.625" style="1035" customWidth="1"/>
    <col min="16137" max="16384" width="9" style="1035"/>
  </cols>
  <sheetData>
    <row r="2" spans="2:11" s="682" customFormat="1" ht="20.25" x14ac:dyDescent="0.3">
      <c r="B2" s="1189" t="s">
        <v>1009</v>
      </c>
      <c r="E2" s="1190"/>
      <c r="F2" s="684"/>
      <c r="G2" s="684"/>
      <c r="K2" s="685"/>
    </row>
    <row r="3" spans="2:11" s="682" customFormat="1" ht="18" x14ac:dyDescent="0.25">
      <c r="B3" s="1191" t="s">
        <v>1090</v>
      </c>
      <c r="E3" s="1190"/>
      <c r="F3" s="684"/>
      <c r="G3" s="684"/>
      <c r="K3" s="685"/>
    </row>
    <row r="4" spans="2:11" s="682" customFormat="1" ht="14.25" x14ac:dyDescent="0.2">
      <c r="F4" s="684"/>
      <c r="G4" s="684"/>
      <c r="K4" s="685"/>
    </row>
    <row r="5" spans="2:11" s="725" customFormat="1" ht="21" customHeight="1" x14ac:dyDescent="0.2">
      <c r="B5" s="1218">
        <v>1</v>
      </c>
      <c r="C5" s="881" t="s">
        <v>414</v>
      </c>
      <c r="D5" s="1219"/>
      <c r="E5" s="882"/>
      <c r="F5" s="884"/>
      <c r="G5" s="884"/>
      <c r="H5" s="1220"/>
      <c r="K5" s="723"/>
    </row>
    <row r="6" spans="2:11" s="736" customFormat="1" x14ac:dyDescent="0.2">
      <c r="B6" s="809"/>
      <c r="C6" s="3137" t="s">
        <v>831</v>
      </c>
      <c r="D6" s="3138"/>
      <c r="E6" s="3142"/>
      <c r="F6" s="1068" t="s">
        <v>623</v>
      </c>
      <c r="G6" s="1069" t="s">
        <v>443</v>
      </c>
      <c r="H6" s="1070" t="s">
        <v>443</v>
      </c>
      <c r="K6" s="734"/>
    </row>
    <row r="7" spans="2:11" s="747" customFormat="1" x14ac:dyDescent="0.2">
      <c r="B7" s="849"/>
      <c r="C7" s="1187"/>
      <c r="D7" s="1221"/>
      <c r="E7" s="1118"/>
      <c r="F7" s="1101"/>
      <c r="G7" s="1101" t="s">
        <v>445</v>
      </c>
      <c r="H7" s="1102" t="s">
        <v>315</v>
      </c>
      <c r="K7" s="745"/>
    </row>
    <row r="8" spans="2:11" s="747" customFormat="1" x14ac:dyDescent="0.2">
      <c r="B8" s="737"/>
      <c r="C8" s="1176"/>
      <c r="D8" s="1177"/>
      <c r="E8" s="1113"/>
      <c r="F8" s="858"/>
      <c r="G8" s="858"/>
      <c r="H8" s="859"/>
      <c r="K8" s="745"/>
    </row>
    <row r="9" spans="2:11" s="755" customFormat="1" x14ac:dyDescent="0.2">
      <c r="B9" s="1222"/>
      <c r="C9" s="1223" t="s">
        <v>547</v>
      </c>
      <c r="D9" s="3008"/>
      <c r="E9" s="3009"/>
      <c r="F9" s="1224">
        <v>22.5</v>
      </c>
      <c r="G9" s="960">
        <f>IF(D9&lt;&gt;"",F9,0)</f>
        <v>0</v>
      </c>
      <c r="H9" s="928">
        <f>G9/15</f>
        <v>0</v>
      </c>
      <c r="K9" s="754"/>
    </row>
    <row r="10" spans="2:11" s="755" customFormat="1" x14ac:dyDescent="0.2">
      <c r="B10" s="1222"/>
      <c r="C10" s="1223" t="s">
        <v>548</v>
      </c>
      <c r="D10" s="3008"/>
      <c r="E10" s="3009"/>
      <c r="F10" s="1224">
        <v>22.5</v>
      </c>
      <c r="G10" s="960">
        <f>IF(D10&lt;&gt;"",F10,0)</f>
        <v>0</v>
      </c>
      <c r="H10" s="928">
        <f>G10/15</f>
        <v>0</v>
      </c>
      <c r="K10" s="754"/>
    </row>
    <row r="11" spans="2:11" s="755" customFormat="1" x14ac:dyDescent="0.2">
      <c r="B11" s="1225"/>
      <c r="C11" s="1226"/>
      <c r="D11" s="866"/>
      <c r="E11" s="1075"/>
      <c r="F11" s="867" t="s">
        <v>283</v>
      </c>
      <c r="G11" s="820">
        <f>SUM(G9:G10)</f>
        <v>0</v>
      </c>
      <c r="H11" s="821">
        <f>SUM(H9:H10)</f>
        <v>0</v>
      </c>
      <c r="K11" s="754"/>
    </row>
    <row r="12" spans="2:11" s="842" customFormat="1" x14ac:dyDescent="0.2">
      <c r="B12" s="1082"/>
      <c r="C12" s="1078"/>
      <c r="D12" s="1079"/>
      <c r="E12" s="1080"/>
      <c r="F12" s="1082"/>
      <c r="G12" s="1083"/>
      <c r="H12" s="1083"/>
      <c r="K12" s="840"/>
    </row>
    <row r="13" spans="2:11" s="842" customFormat="1" x14ac:dyDescent="0.2">
      <c r="B13" s="1088"/>
      <c r="C13" s="1084"/>
      <c r="D13" s="1085"/>
      <c r="E13" s="1086"/>
      <c r="F13" s="1088"/>
      <c r="G13" s="1089"/>
      <c r="H13" s="1089"/>
      <c r="K13" s="840"/>
    </row>
    <row r="14" spans="2:11" s="725" customFormat="1" ht="21" customHeight="1" x14ac:dyDescent="0.2">
      <c r="B14" s="1218">
        <v>2</v>
      </c>
      <c r="C14" s="881" t="s">
        <v>415</v>
      </c>
      <c r="D14" s="1219"/>
      <c r="E14" s="882"/>
      <c r="F14" s="884"/>
      <c r="G14" s="884"/>
      <c r="H14" s="1220"/>
      <c r="K14" s="723"/>
    </row>
    <row r="15" spans="2:11" s="736" customFormat="1" x14ac:dyDescent="0.2">
      <c r="B15" s="809"/>
      <c r="C15" s="1055"/>
      <c r="D15" s="1227"/>
      <c r="E15" s="1003" t="s">
        <v>280</v>
      </c>
      <c r="F15" s="1068" t="s">
        <v>623</v>
      </c>
      <c r="G15" s="1069" t="s">
        <v>443</v>
      </c>
      <c r="H15" s="1070" t="s">
        <v>443</v>
      </c>
      <c r="K15" s="734"/>
    </row>
    <row r="16" spans="2:11" s="747" customFormat="1" x14ac:dyDescent="0.2">
      <c r="B16" s="737"/>
      <c r="C16" s="1176"/>
      <c r="D16" s="1178"/>
      <c r="E16" s="739" t="s">
        <v>444</v>
      </c>
      <c r="F16" s="858"/>
      <c r="G16" s="858" t="s">
        <v>445</v>
      </c>
      <c r="H16" s="859" t="s">
        <v>315</v>
      </c>
      <c r="K16" s="745"/>
    </row>
    <row r="17" spans="2:11" s="769" customFormat="1" ht="27" customHeight="1" x14ac:dyDescent="0.25">
      <c r="B17" s="1228"/>
      <c r="C17" s="1229" t="s">
        <v>832</v>
      </c>
      <c r="D17" s="1230"/>
      <c r="E17" s="1231"/>
      <c r="F17" s="1232" t="s">
        <v>20</v>
      </c>
      <c r="G17" s="1232">
        <v>15</v>
      </c>
      <c r="H17" s="1233">
        <f>IF(E17&lt;&gt;"",1,0)</f>
        <v>0</v>
      </c>
      <c r="K17" s="768"/>
    </row>
    <row r="18" spans="2:11" s="842" customFormat="1" x14ac:dyDescent="0.2">
      <c r="B18" s="1082"/>
      <c r="C18" s="1078"/>
      <c r="D18" s="1079"/>
      <c r="E18" s="1080"/>
      <c r="F18" s="1082"/>
      <c r="G18" s="1083"/>
      <c r="H18" s="1083"/>
      <c r="K18" s="840"/>
    </row>
    <row r="19" spans="2:11" s="842" customFormat="1" x14ac:dyDescent="0.2">
      <c r="B19" s="1088"/>
      <c r="C19" s="1084"/>
      <c r="D19" s="1085"/>
      <c r="E19" s="1086"/>
      <c r="F19" s="1088"/>
      <c r="G19" s="1089"/>
      <c r="H19" s="1089"/>
      <c r="K19" s="840"/>
    </row>
    <row r="20" spans="2:11" s="725" customFormat="1" ht="21" customHeight="1" x14ac:dyDescent="0.2">
      <c r="B20" s="1218">
        <v>3</v>
      </c>
      <c r="C20" s="1234" t="s">
        <v>416</v>
      </c>
      <c r="D20" s="1219"/>
      <c r="E20" s="882"/>
      <c r="F20" s="884"/>
      <c r="G20" s="884"/>
      <c r="H20" s="1220"/>
      <c r="K20" s="723"/>
    </row>
    <row r="21" spans="2:11" s="736" customFormat="1" x14ac:dyDescent="0.2">
      <c r="B21" s="807"/>
      <c r="C21" s="810"/>
      <c r="D21" s="810" t="s">
        <v>718</v>
      </c>
      <c r="E21" s="1003" t="s">
        <v>833</v>
      </c>
      <c r="F21" s="1068" t="s">
        <v>623</v>
      </c>
      <c r="G21" s="1069" t="s">
        <v>443</v>
      </c>
      <c r="H21" s="1070" t="s">
        <v>443</v>
      </c>
      <c r="K21" s="734"/>
    </row>
    <row r="22" spans="2:11" s="747" customFormat="1" x14ac:dyDescent="0.2">
      <c r="B22" s="1235"/>
      <c r="C22" s="1236"/>
      <c r="D22" s="1236"/>
      <c r="E22" s="739" t="s">
        <v>834</v>
      </c>
      <c r="F22" s="858"/>
      <c r="G22" s="858" t="s">
        <v>445</v>
      </c>
      <c r="H22" s="859" t="s">
        <v>315</v>
      </c>
      <c r="K22" s="745"/>
    </row>
    <row r="23" spans="2:11" s="755" customFormat="1" ht="15" customHeight="1" x14ac:dyDescent="0.25">
      <c r="B23" s="1237"/>
      <c r="C23" s="1238"/>
      <c r="D23" s="1239" t="s">
        <v>835</v>
      </c>
      <c r="E23" s="1240"/>
      <c r="F23" s="1216"/>
      <c r="G23" s="1216"/>
      <c r="H23" s="1217"/>
      <c r="K23" s="754"/>
    </row>
    <row r="24" spans="2:11" s="755" customFormat="1" x14ac:dyDescent="0.2">
      <c r="B24" s="1222"/>
      <c r="C24" s="1223" t="s">
        <v>836</v>
      </c>
      <c r="D24" s="1207"/>
      <c r="E24" s="1090"/>
      <c r="F24" s="1073">
        <v>1</v>
      </c>
      <c r="G24" s="960">
        <f t="shared" ref="G24:G43" si="0">E24*F24</f>
        <v>0</v>
      </c>
      <c r="H24" s="928">
        <f t="shared" ref="H24:H43" si="1">G24/15</f>
        <v>0</v>
      </c>
      <c r="K24" s="754"/>
    </row>
    <row r="25" spans="2:11" s="755" customFormat="1" x14ac:dyDescent="0.2">
      <c r="B25" s="1222"/>
      <c r="C25" s="1223" t="s">
        <v>837</v>
      </c>
      <c r="D25" s="1207"/>
      <c r="E25" s="1090"/>
      <c r="F25" s="1073">
        <v>1</v>
      </c>
      <c r="G25" s="960">
        <f t="shared" si="0"/>
        <v>0</v>
      </c>
      <c r="H25" s="928">
        <f t="shared" si="1"/>
        <v>0</v>
      </c>
      <c r="K25" s="754"/>
    </row>
    <row r="26" spans="2:11" s="755" customFormat="1" x14ac:dyDescent="0.2">
      <c r="B26" s="1222"/>
      <c r="C26" s="1223" t="s">
        <v>838</v>
      </c>
      <c r="D26" s="1207"/>
      <c r="E26" s="1090"/>
      <c r="F26" s="1073">
        <v>1</v>
      </c>
      <c r="G26" s="960">
        <f t="shared" si="0"/>
        <v>0</v>
      </c>
      <c r="H26" s="928">
        <f t="shared" si="1"/>
        <v>0</v>
      </c>
      <c r="K26" s="754"/>
    </row>
    <row r="27" spans="2:11" s="755" customFormat="1" x14ac:dyDescent="0.2">
      <c r="B27" s="1222"/>
      <c r="C27" s="1223" t="s">
        <v>839</v>
      </c>
      <c r="D27" s="1207"/>
      <c r="E27" s="1090"/>
      <c r="F27" s="1073">
        <v>1</v>
      </c>
      <c r="G27" s="960">
        <f t="shared" si="0"/>
        <v>0</v>
      </c>
      <c r="H27" s="928">
        <f t="shared" si="1"/>
        <v>0</v>
      </c>
      <c r="K27" s="754"/>
    </row>
    <row r="28" spans="2:11" s="755" customFormat="1" x14ac:dyDescent="0.2">
      <c r="B28" s="1222"/>
      <c r="C28" s="1223" t="s">
        <v>840</v>
      </c>
      <c r="D28" s="1207"/>
      <c r="E28" s="1090"/>
      <c r="F28" s="1073">
        <v>1</v>
      </c>
      <c r="G28" s="960">
        <f t="shared" si="0"/>
        <v>0</v>
      </c>
      <c r="H28" s="928">
        <f t="shared" si="1"/>
        <v>0</v>
      </c>
      <c r="K28" s="754"/>
    </row>
    <row r="29" spans="2:11" s="755" customFormat="1" x14ac:dyDescent="0.2">
      <c r="B29" s="1222"/>
      <c r="C29" s="1223" t="s">
        <v>841</v>
      </c>
      <c r="D29" s="1207"/>
      <c r="E29" s="1090"/>
      <c r="F29" s="1073">
        <v>1</v>
      </c>
      <c r="G29" s="960">
        <f t="shared" si="0"/>
        <v>0</v>
      </c>
      <c r="H29" s="928">
        <f t="shared" si="1"/>
        <v>0</v>
      </c>
      <c r="K29" s="754"/>
    </row>
    <row r="30" spans="2:11" s="755" customFormat="1" x14ac:dyDescent="0.2">
      <c r="B30" s="1222"/>
      <c r="C30" s="1223" t="s">
        <v>842</v>
      </c>
      <c r="D30" s="1207"/>
      <c r="E30" s="1090"/>
      <c r="F30" s="1073">
        <v>1</v>
      </c>
      <c r="G30" s="960">
        <f t="shared" si="0"/>
        <v>0</v>
      </c>
      <c r="H30" s="928">
        <f t="shared" si="1"/>
        <v>0</v>
      </c>
      <c r="K30" s="754"/>
    </row>
    <row r="31" spans="2:11" s="755" customFormat="1" x14ac:dyDescent="0.2">
      <c r="B31" s="1222"/>
      <c r="C31" s="1223" t="s">
        <v>843</v>
      </c>
      <c r="D31" s="1207"/>
      <c r="E31" s="1090"/>
      <c r="F31" s="1073">
        <v>1</v>
      </c>
      <c r="G31" s="960">
        <f t="shared" si="0"/>
        <v>0</v>
      </c>
      <c r="H31" s="928">
        <f t="shared" si="1"/>
        <v>0</v>
      </c>
      <c r="K31" s="754"/>
    </row>
    <row r="32" spans="2:11" s="755" customFormat="1" x14ac:dyDescent="0.2">
      <c r="B32" s="1222"/>
      <c r="C32" s="1223" t="s">
        <v>844</v>
      </c>
      <c r="D32" s="1207"/>
      <c r="E32" s="1090"/>
      <c r="F32" s="1073">
        <v>1</v>
      </c>
      <c r="G32" s="960">
        <f t="shared" si="0"/>
        <v>0</v>
      </c>
      <c r="H32" s="928">
        <f t="shared" si="1"/>
        <v>0</v>
      </c>
      <c r="K32" s="754"/>
    </row>
    <row r="33" spans="2:11" s="755" customFormat="1" x14ac:dyDescent="0.2">
      <c r="B33" s="1222"/>
      <c r="C33" s="1223" t="s">
        <v>845</v>
      </c>
      <c r="D33" s="1207"/>
      <c r="E33" s="1090"/>
      <c r="F33" s="1073">
        <v>1</v>
      </c>
      <c r="G33" s="960">
        <f t="shared" si="0"/>
        <v>0</v>
      </c>
      <c r="H33" s="928">
        <f t="shared" si="1"/>
        <v>0</v>
      </c>
      <c r="K33" s="754"/>
    </row>
    <row r="34" spans="2:11" s="755" customFormat="1" x14ac:dyDescent="0.2">
      <c r="B34" s="1222"/>
      <c r="C34" s="1223" t="s">
        <v>846</v>
      </c>
      <c r="D34" s="1207"/>
      <c r="E34" s="1090"/>
      <c r="F34" s="1073">
        <v>1</v>
      </c>
      <c r="G34" s="960">
        <f t="shared" si="0"/>
        <v>0</v>
      </c>
      <c r="H34" s="928">
        <f t="shared" si="1"/>
        <v>0</v>
      </c>
      <c r="K34" s="754"/>
    </row>
    <row r="35" spans="2:11" s="755" customFormat="1" x14ac:dyDescent="0.2">
      <c r="B35" s="1222"/>
      <c r="C35" s="1223" t="s">
        <v>847</v>
      </c>
      <c r="D35" s="1207"/>
      <c r="E35" s="1090"/>
      <c r="F35" s="1073">
        <v>1</v>
      </c>
      <c r="G35" s="960">
        <f t="shared" si="0"/>
        <v>0</v>
      </c>
      <c r="H35" s="928">
        <f t="shared" si="1"/>
        <v>0</v>
      </c>
      <c r="K35" s="754"/>
    </row>
    <row r="36" spans="2:11" s="755" customFormat="1" x14ac:dyDescent="0.2">
      <c r="B36" s="1222"/>
      <c r="C36" s="1223" t="s">
        <v>848</v>
      </c>
      <c r="D36" s="1207"/>
      <c r="E36" s="1090"/>
      <c r="F36" s="1073">
        <v>1</v>
      </c>
      <c r="G36" s="960">
        <f t="shared" si="0"/>
        <v>0</v>
      </c>
      <c r="H36" s="928">
        <f t="shared" si="1"/>
        <v>0</v>
      </c>
      <c r="K36" s="754"/>
    </row>
    <row r="37" spans="2:11" s="755" customFormat="1" x14ac:dyDescent="0.2">
      <c r="B37" s="1222"/>
      <c r="C37" s="1223" t="s">
        <v>849</v>
      </c>
      <c r="D37" s="1207"/>
      <c r="E37" s="1090"/>
      <c r="F37" s="1073">
        <v>1</v>
      </c>
      <c r="G37" s="960">
        <f t="shared" si="0"/>
        <v>0</v>
      </c>
      <c r="H37" s="928">
        <f t="shared" si="1"/>
        <v>0</v>
      </c>
      <c r="K37" s="754"/>
    </row>
    <row r="38" spans="2:11" s="755" customFormat="1" x14ac:dyDescent="0.2">
      <c r="B38" s="1222"/>
      <c r="C38" s="1223" t="s">
        <v>850</v>
      </c>
      <c r="D38" s="1207"/>
      <c r="E38" s="1090"/>
      <c r="F38" s="1073">
        <v>1</v>
      </c>
      <c r="G38" s="960">
        <f t="shared" si="0"/>
        <v>0</v>
      </c>
      <c r="H38" s="928">
        <f t="shared" si="1"/>
        <v>0</v>
      </c>
      <c r="K38" s="754"/>
    </row>
    <row r="39" spans="2:11" s="755" customFormat="1" hidden="1" x14ac:dyDescent="0.2">
      <c r="B39" s="1222"/>
      <c r="C39" s="1223" t="s">
        <v>851</v>
      </c>
      <c r="D39" s="1211"/>
      <c r="E39" s="1213"/>
      <c r="F39" s="1073">
        <v>1</v>
      </c>
      <c r="G39" s="960">
        <f t="shared" si="0"/>
        <v>0</v>
      </c>
      <c r="H39" s="928">
        <f t="shared" si="1"/>
        <v>0</v>
      </c>
      <c r="K39" s="754"/>
    </row>
    <row r="40" spans="2:11" s="755" customFormat="1" hidden="1" x14ac:dyDescent="0.2">
      <c r="B40" s="1222"/>
      <c r="C40" s="1223" t="s">
        <v>852</v>
      </c>
      <c r="D40" s="1211"/>
      <c r="E40" s="1213"/>
      <c r="F40" s="1073">
        <v>1</v>
      </c>
      <c r="G40" s="960">
        <f t="shared" si="0"/>
        <v>0</v>
      </c>
      <c r="H40" s="928">
        <f t="shared" si="1"/>
        <v>0</v>
      </c>
      <c r="K40" s="754"/>
    </row>
    <row r="41" spans="2:11" s="755" customFormat="1" hidden="1" x14ac:dyDescent="0.2">
      <c r="B41" s="1222"/>
      <c r="C41" s="1223" t="s">
        <v>853</v>
      </c>
      <c r="D41" s="1211"/>
      <c r="E41" s="1213"/>
      <c r="F41" s="1073">
        <v>1</v>
      </c>
      <c r="G41" s="960">
        <f t="shared" si="0"/>
        <v>0</v>
      </c>
      <c r="H41" s="928">
        <f t="shared" si="1"/>
        <v>0</v>
      </c>
      <c r="K41" s="754"/>
    </row>
    <row r="42" spans="2:11" s="755" customFormat="1" hidden="1" x14ac:dyDescent="0.2">
      <c r="B42" s="1222"/>
      <c r="C42" s="1223" t="s">
        <v>854</v>
      </c>
      <c r="D42" s="1211"/>
      <c r="E42" s="1213"/>
      <c r="F42" s="1073">
        <v>1</v>
      </c>
      <c r="G42" s="960">
        <f t="shared" si="0"/>
        <v>0</v>
      </c>
      <c r="H42" s="928">
        <f t="shared" si="1"/>
        <v>0</v>
      </c>
      <c r="K42" s="754"/>
    </row>
    <row r="43" spans="2:11" s="755" customFormat="1" hidden="1" x14ac:dyDescent="0.2">
      <c r="B43" s="1241"/>
      <c r="C43" s="1223" t="s">
        <v>855</v>
      </c>
      <c r="D43" s="1211"/>
      <c r="E43" s="1213"/>
      <c r="F43" s="1073">
        <v>1</v>
      </c>
      <c r="G43" s="960">
        <f t="shared" si="0"/>
        <v>0</v>
      </c>
      <c r="H43" s="928">
        <f t="shared" si="1"/>
        <v>0</v>
      </c>
      <c r="K43" s="754"/>
    </row>
    <row r="44" spans="2:11" s="755" customFormat="1" x14ac:dyDescent="0.2">
      <c r="B44" s="1225"/>
      <c r="C44" s="1171"/>
      <c r="D44" s="1172"/>
      <c r="E44" s="1075"/>
      <c r="F44" s="867" t="s">
        <v>283</v>
      </c>
      <c r="G44" s="820">
        <f>SUM(G24:G38)</f>
        <v>0</v>
      </c>
      <c r="H44" s="821">
        <f>SUM(H24:H38)</f>
        <v>0</v>
      </c>
      <c r="K44" s="754"/>
    </row>
    <row r="45" spans="2:11" s="755" customFormat="1" x14ac:dyDescent="0.2">
      <c r="B45" s="1242"/>
      <c r="C45" s="1243"/>
      <c r="D45" s="1244" t="s">
        <v>856</v>
      </c>
      <c r="E45" s="1203"/>
      <c r="F45" s="1245"/>
      <c r="G45" s="1246"/>
      <c r="H45" s="1247"/>
      <c r="K45" s="754"/>
    </row>
    <row r="46" spans="2:11" s="755" customFormat="1" x14ac:dyDescent="0.2">
      <c r="B46" s="1222"/>
      <c r="C46" s="1223" t="s">
        <v>836</v>
      </c>
      <c r="D46" s="1207"/>
      <c r="E46" s="1090"/>
      <c r="F46" s="1224">
        <v>1.3</v>
      </c>
      <c r="G46" s="960">
        <f t="shared" ref="G46:G55" si="2">E46*F46</f>
        <v>0</v>
      </c>
      <c r="H46" s="928">
        <f t="shared" ref="H46:H55" si="3">G46/15</f>
        <v>0</v>
      </c>
      <c r="K46" s="754"/>
    </row>
    <row r="47" spans="2:11" s="755" customFormat="1" x14ac:dyDescent="0.2">
      <c r="B47" s="1222"/>
      <c r="C47" s="1223" t="s">
        <v>837</v>
      </c>
      <c r="D47" s="1207"/>
      <c r="E47" s="1090"/>
      <c r="F47" s="1224">
        <v>1.3</v>
      </c>
      <c r="G47" s="960">
        <f t="shared" si="2"/>
        <v>0</v>
      </c>
      <c r="H47" s="928">
        <f t="shared" si="3"/>
        <v>0</v>
      </c>
      <c r="K47" s="754"/>
    </row>
    <row r="48" spans="2:11" s="755" customFormat="1" x14ac:dyDescent="0.2">
      <c r="B48" s="1222"/>
      <c r="C48" s="1223" t="s">
        <v>838</v>
      </c>
      <c r="D48" s="1207"/>
      <c r="E48" s="1090"/>
      <c r="F48" s="1224">
        <v>1.3</v>
      </c>
      <c r="G48" s="960">
        <f t="shared" si="2"/>
        <v>0</v>
      </c>
      <c r="H48" s="928">
        <f t="shared" si="3"/>
        <v>0</v>
      </c>
      <c r="K48" s="754"/>
    </row>
    <row r="49" spans="2:11" s="755" customFormat="1" x14ac:dyDescent="0.2">
      <c r="B49" s="1222"/>
      <c r="C49" s="1223" t="s">
        <v>839</v>
      </c>
      <c r="D49" s="1207"/>
      <c r="E49" s="1090"/>
      <c r="F49" s="1224">
        <v>1.3</v>
      </c>
      <c r="G49" s="960">
        <f t="shared" si="2"/>
        <v>0</v>
      </c>
      <c r="H49" s="928">
        <f t="shared" si="3"/>
        <v>0</v>
      </c>
      <c r="K49" s="754"/>
    </row>
    <row r="50" spans="2:11" s="755" customFormat="1" x14ac:dyDescent="0.2">
      <c r="B50" s="1222"/>
      <c r="C50" s="1223" t="s">
        <v>840</v>
      </c>
      <c r="D50" s="1207"/>
      <c r="E50" s="1090"/>
      <c r="F50" s="1224">
        <v>1.3</v>
      </c>
      <c r="G50" s="960">
        <f t="shared" si="2"/>
        <v>0</v>
      </c>
      <c r="H50" s="928">
        <f t="shared" si="3"/>
        <v>0</v>
      </c>
      <c r="K50" s="754"/>
    </row>
    <row r="51" spans="2:11" s="755" customFormat="1" x14ac:dyDescent="0.2">
      <c r="B51" s="1222"/>
      <c r="C51" s="1223" t="s">
        <v>841</v>
      </c>
      <c r="D51" s="1207"/>
      <c r="E51" s="1090"/>
      <c r="F51" s="1224">
        <v>1.3</v>
      </c>
      <c r="G51" s="960">
        <f t="shared" si="2"/>
        <v>0</v>
      </c>
      <c r="H51" s="928">
        <f t="shared" si="3"/>
        <v>0</v>
      </c>
      <c r="K51" s="754"/>
    </row>
    <row r="52" spans="2:11" s="755" customFormat="1" x14ac:dyDescent="0.2">
      <c r="B52" s="1222"/>
      <c r="C52" s="1223" t="s">
        <v>842</v>
      </c>
      <c r="D52" s="1207"/>
      <c r="E52" s="1090"/>
      <c r="F52" s="1224">
        <v>1.3</v>
      </c>
      <c r="G52" s="960">
        <f t="shared" si="2"/>
        <v>0</v>
      </c>
      <c r="H52" s="928">
        <f t="shared" si="3"/>
        <v>0</v>
      </c>
      <c r="K52" s="754"/>
    </row>
    <row r="53" spans="2:11" s="755" customFormat="1" x14ac:dyDescent="0.2">
      <c r="B53" s="1222"/>
      <c r="C53" s="1223" t="s">
        <v>843</v>
      </c>
      <c r="D53" s="1207"/>
      <c r="E53" s="1090"/>
      <c r="F53" s="1224">
        <v>1.3</v>
      </c>
      <c r="G53" s="960">
        <f t="shared" si="2"/>
        <v>0</v>
      </c>
      <c r="H53" s="928">
        <f t="shared" si="3"/>
        <v>0</v>
      </c>
      <c r="K53" s="754"/>
    </row>
    <row r="54" spans="2:11" s="755" customFormat="1" x14ac:dyDescent="0.2">
      <c r="B54" s="1222"/>
      <c r="C54" s="1223" t="s">
        <v>844</v>
      </c>
      <c r="D54" s="1207"/>
      <c r="E54" s="1090"/>
      <c r="F54" s="1224">
        <v>1.3</v>
      </c>
      <c r="G54" s="960">
        <f t="shared" si="2"/>
        <v>0</v>
      </c>
      <c r="H54" s="928">
        <f t="shared" si="3"/>
        <v>0</v>
      </c>
      <c r="K54" s="754"/>
    </row>
    <row r="55" spans="2:11" s="755" customFormat="1" x14ac:dyDescent="0.2">
      <c r="B55" s="1241"/>
      <c r="C55" s="1223" t="s">
        <v>845</v>
      </c>
      <c r="D55" s="1207"/>
      <c r="E55" s="1090"/>
      <c r="F55" s="1224">
        <v>1.3</v>
      </c>
      <c r="G55" s="960">
        <f t="shared" si="2"/>
        <v>0</v>
      </c>
      <c r="H55" s="928">
        <f t="shared" si="3"/>
        <v>0</v>
      </c>
      <c r="K55" s="754"/>
    </row>
    <row r="56" spans="2:11" s="755" customFormat="1" x14ac:dyDescent="0.2">
      <c r="B56" s="1225"/>
      <c r="C56" s="1248"/>
      <c r="D56" s="1172"/>
      <c r="E56" s="1075"/>
      <c r="F56" s="867" t="s">
        <v>283</v>
      </c>
      <c r="G56" s="820">
        <f>SUM(G46:G55)</f>
        <v>0</v>
      </c>
      <c r="H56" s="821">
        <f>SUM(H46:H55)</f>
        <v>0</v>
      </c>
      <c r="K56" s="754"/>
    </row>
    <row r="57" spans="2:11" s="755" customFormat="1" ht="21" customHeight="1" x14ac:dyDescent="0.2">
      <c r="B57" s="1149"/>
      <c r="C57" s="827"/>
      <c r="D57" s="1249"/>
      <c r="E57" s="1250"/>
      <c r="F57" s="1251" t="s">
        <v>857</v>
      </c>
      <c r="G57" s="1116">
        <f>G56+G44</f>
        <v>0</v>
      </c>
      <c r="H57" s="1117">
        <f>H56+H44</f>
        <v>0</v>
      </c>
      <c r="K57" s="754"/>
    </row>
    <row r="58" spans="2:11" s="842" customFormat="1" x14ac:dyDescent="0.2">
      <c r="B58" s="1082"/>
      <c r="C58" s="1078"/>
      <c r="D58" s="1079"/>
      <c r="E58" s="1080"/>
      <c r="F58" s="1082"/>
      <c r="G58" s="1083"/>
      <c r="H58" s="1083"/>
      <c r="K58" s="840"/>
    </row>
    <row r="59" spans="2:11" s="842" customFormat="1" x14ac:dyDescent="0.2">
      <c r="B59" s="1088"/>
      <c r="C59" s="1084"/>
      <c r="D59" s="1085"/>
      <c r="E59" s="1086"/>
      <c r="F59" s="1088"/>
      <c r="G59" s="1089"/>
      <c r="H59" s="1089"/>
      <c r="K59" s="840"/>
    </row>
    <row r="60" spans="2:11" s="682" customFormat="1" ht="21" customHeight="1" x14ac:dyDescent="0.2">
      <c r="B60" s="1218">
        <v>4</v>
      </c>
      <c r="C60" s="1234" t="s">
        <v>417</v>
      </c>
      <c r="D60" s="1219"/>
      <c r="E60" s="882"/>
      <c r="F60" s="884"/>
      <c r="G60" s="884"/>
      <c r="H60" s="1220"/>
      <c r="K60" s="685"/>
    </row>
    <row r="61" spans="2:11" s="736" customFormat="1" x14ac:dyDescent="0.2">
      <c r="B61" s="809"/>
      <c r="C61" s="810"/>
      <c r="D61" s="1055" t="s">
        <v>491</v>
      </c>
      <c r="E61" s="810" t="s">
        <v>858</v>
      </c>
      <c r="F61" s="1068" t="s">
        <v>623</v>
      </c>
      <c r="G61" s="1069" t="s">
        <v>443</v>
      </c>
      <c r="H61" s="1070" t="s">
        <v>443</v>
      </c>
      <c r="K61" s="734"/>
    </row>
    <row r="62" spans="2:11" s="747" customFormat="1" x14ac:dyDescent="0.2">
      <c r="B62" s="849"/>
      <c r="C62" s="1252"/>
      <c r="D62" s="1187"/>
      <c r="E62" s="732" t="s">
        <v>859</v>
      </c>
      <c r="F62" s="1101"/>
      <c r="G62" s="1101" t="s">
        <v>445</v>
      </c>
      <c r="H62" s="1102" t="s">
        <v>315</v>
      </c>
      <c r="K62" s="745"/>
    </row>
    <row r="63" spans="2:11" s="747" customFormat="1" x14ac:dyDescent="0.2">
      <c r="B63" s="849"/>
      <c r="C63" s="1252"/>
      <c r="D63" s="1187"/>
      <c r="E63" s="1123"/>
      <c r="F63" s="1101"/>
      <c r="G63" s="1101"/>
      <c r="H63" s="1102"/>
      <c r="K63" s="745"/>
    </row>
    <row r="64" spans="2:11" s="747" customFormat="1" x14ac:dyDescent="0.2">
      <c r="B64" s="737"/>
      <c r="C64" s="1236"/>
      <c r="D64" s="1176"/>
      <c r="E64" s="906"/>
      <c r="F64" s="858"/>
      <c r="G64" s="858"/>
      <c r="H64" s="859"/>
      <c r="K64" s="745"/>
    </row>
    <row r="65" spans="2:11" s="755" customFormat="1" x14ac:dyDescent="0.2">
      <c r="B65" s="1222"/>
      <c r="C65" s="1238"/>
      <c r="D65" s="1253" t="s">
        <v>860</v>
      </c>
      <c r="E65" s="1215"/>
      <c r="F65" s="1254"/>
      <c r="G65" s="1255"/>
      <c r="H65" s="1256"/>
      <c r="K65" s="754"/>
    </row>
    <row r="66" spans="2:11" s="755" customFormat="1" x14ac:dyDescent="0.2">
      <c r="B66" s="1222"/>
      <c r="C66" s="1223" t="s">
        <v>711</v>
      </c>
      <c r="D66" s="1056"/>
      <c r="E66" s="1090"/>
      <c r="F66" s="1073">
        <v>10</v>
      </c>
      <c r="G66" s="960">
        <f>IF(D66&lt;&gt;"",F66,0)</f>
        <v>0</v>
      </c>
      <c r="H66" s="928">
        <f t="shared" ref="H66:H75" si="4">G66/15</f>
        <v>0</v>
      </c>
      <c r="K66" s="754"/>
    </row>
    <row r="67" spans="2:11" s="755" customFormat="1" x14ac:dyDescent="0.2">
      <c r="B67" s="1222"/>
      <c r="C67" s="1223" t="s">
        <v>712</v>
      </c>
      <c r="D67" s="1056"/>
      <c r="E67" s="1090"/>
      <c r="F67" s="1073">
        <v>10</v>
      </c>
      <c r="G67" s="960">
        <f t="shared" ref="G67:G75" si="5">IF(D67&lt;&gt;"",F67,0)</f>
        <v>0</v>
      </c>
      <c r="H67" s="928">
        <f t="shared" si="4"/>
        <v>0</v>
      </c>
      <c r="K67" s="754"/>
    </row>
    <row r="68" spans="2:11" s="755" customFormat="1" x14ac:dyDescent="0.2">
      <c r="B68" s="1222"/>
      <c r="C68" s="1223" t="s">
        <v>713</v>
      </c>
      <c r="D68" s="1056"/>
      <c r="E68" s="1090"/>
      <c r="F68" s="1073">
        <v>10</v>
      </c>
      <c r="G68" s="960">
        <f t="shared" si="5"/>
        <v>0</v>
      </c>
      <c r="H68" s="928">
        <f t="shared" si="4"/>
        <v>0</v>
      </c>
      <c r="K68" s="754"/>
    </row>
    <row r="69" spans="2:11" s="755" customFormat="1" x14ac:dyDescent="0.2">
      <c r="B69" s="1222"/>
      <c r="C69" s="1223" t="s">
        <v>714</v>
      </c>
      <c r="D69" s="1056"/>
      <c r="E69" s="1090"/>
      <c r="F69" s="1073">
        <v>10</v>
      </c>
      <c r="G69" s="960">
        <f t="shared" si="5"/>
        <v>0</v>
      </c>
      <c r="H69" s="928">
        <f t="shared" si="4"/>
        <v>0</v>
      </c>
      <c r="K69" s="754"/>
    </row>
    <row r="70" spans="2:11" s="755" customFormat="1" x14ac:dyDescent="0.2">
      <c r="B70" s="1222"/>
      <c r="C70" s="1223" t="s">
        <v>715</v>
      </c>
      <c r="D70" s="1056"/>
      <c r="E70" s="1090"/>
      <c r="F70" s="1073">
        <v>10</v>
      </c>
      <c r="G70" s="960">
        <f t="shared" si="5"/>
        <v>0</v>
      </c>
      <c r="H70" s="928">
        <f t="shared" si="4"/>
        <v>0</v>
      </c>
      <c r="K70" s="754"/>
    </row>
    <row r="71" spans="2:11" s="755" customFormat="1" x14ac:dyDescent="0.2">
      <c r="B71" s="1222"/>
      <c r="C71" s="1223" t="s">
        <v>815</v>
      </c>
      <c r="D71" s="1056"/>
      <c r="E71" s="1090"/>
      <c r="F71" s="1073">
        <v>10</v>
      </c>
      <c r="G71" s="960">
        <f t="shared" si="5"/>
        <v>0</v>
      </c>
      <c r="H71" s="928">
        <f t="shared" si="4"/>
        <v>0</v>
      </c>
      <c r="K71" s="754"/>
    </row>
    <row r="72" spans="2:11" s="755" customFormat="1" x14ac:dyDescent="0.2">
      <c r="B72" s="1222"/>
      <c r="C72" s="1223" t="s">
        <v>816</v>
      </c>
      <c r="D72" s="1056"/>
      <c r="E72" s="1090"/>
      <c r="F72" s="1073">
        <v>10</v>
      </c>
      <c r="G72" s="960">
        <f t="shared" si="5"/>
        <v>0</v>
      </c>
      <c r="H72" s="928">
        <f t="shared" si="4"/>
        <v>0</v>
      </c>
      <c r="K72" s="754"/>
    </row>
    <row r="73" spans="2:11" s="755" customFormat="1" x14ac:dyDescent="0.2">
      <c r="B73" s="1222"/>
      <c r="C73" s="1223" t="s">
        <v>817</v>
      </c>
      <c r="D73" s="1056"/>
      <c r="E73" s="1090"/>
      <c r="F73" s="1073">
        <v>10</v>
      </c>
      <c r="G73" s="960">
        <f t="shared" si="5"/>
        <v>0</v>
      </c>
      <c r="H73" s="928">
        <f t="shared" si="4"/>
        <v>0</v>
      </c>
      <c r="K73" s="754"/>
    </row>
    <row r="74" spans="2:11" s="755" customFormat="1" x14ac:dyDescent="0.2">
      <c r="B74" s="1222"/>
      <c r="C74" s="1223" t="s">
        <v>818</v>
      </c>
      <c r="D74" s="1056"/>
      <c r="E74" s="1090"/>
      <c r="F74" s="1073">
        <v>10</v>
      </c>
      <c r="G74" s="960">
        <f t="shared" si="5"/>
        <v>0</v>
      </c>
      <c r="H74" s="928">
        <f t="shared" si="4"/>
        <v>0</v>
      </c>
      <c r="K74" s="754"/>
    </row>
    <row r="75" spans="2:11" s="755" customFormat="1" x14ac:dyDescent="0.2">
      <c r="B75" s="1241"/>
      <c r="C75" s="1223" t="s">
        <v>819</v>
      </c>
      <c r="D75" s="1056"/>
      <c r="E75" s="1090"/>
      <c r="F75" s="1073">
        <v>10</v>
      </c>
      <c r="G75" s="960">
        <f t="shared" si="5"/>
        <v>0</v>
      </c>
      <c r="H75" s="928">
        <f t="shared" si="4"/>
        <v>0</v>
      </c>
      <c r="K75" s="754"/>
    </row>
    <row r="76" spans="2:11" s="755" customFormat="1" x14ac:dyDescent="0.2">
      <c r="B76" s="1225"/>
      <c r="C76" s="1248"/>
      <c r="D76" s="1172"/>
      <c r="E76" s="1075"/>
      <c r="F76" s="867" t="s">
        <v>283</v>
      </c>
      <c r="G76" s="820">
        <f>SUM(G66:G75)</f>
        <v>0</v>
      </c>
      <c r="H76" s="821">
        <f>SUM(H66:H75)</f>
        <v>0</v>
      </c>
      <c r="K76" s="754"/>
    </row>
    <row r="77" spans="2:11" s="755" customFormat="1" x14ac:dyDescent="0.2">
      <c r="B77" s="1222"/>
      <c r="C77" s="1243"/>
      <c r="D77" s="1257" t="s">
        <v>861</v>
      </c>
      <c r="E77" s="1203"/>
      <c r="F77" s="1245"/>
      <c r="G77" s="1246"/>
      <c r="H77" s="1247"/>
      <c r="K77" s="754"/>
    </row>
    <row r="78" spans="2:11" s="755" customFormat="1" x14ac:dyDescent="0.2">
      <c r="B78" s="1222"/>
      <c r="C78" s="1223" t="s">
        <v>711</v>
      </c>
      <c r="D78" s="1056"/>
      <c r="E78" s="1090"/>
      <c r="F78" s="1073">
        <v>3</v>
      </c>
      <c r="G78" s="960">
        <f>IF(D78&lt;&gt;"",F78,0)</f>
        <v>0</v>
      </c>
      <c r="H78" s="928">
        <f t="shared" ref="H78:H87" si="6">G78/15</f>
        <v>0</v>
      </c>
      <c r="K78" s="754"/>
    </row>
    <row r="79" spans="2:11" s="755" customFormat="1" x14ac:dyDescent="0.2">
      <c r="B79" s="1222"/>
      <c r="C79" s="1223" t="s">
        <v>712</v>
      </c>
      <c r="D79" s="1056"/>
      <c r="E79" s="1090"/>
      <c r="F79" s="1073">
        <v>3</v>
      </c>
      <c r="G79" s="960">
        <f t="shared" ref="G79:G87" si="7">IF(D79&lt;&gt;"",F79,0)</f>
        <v>0</v>
      </c>
      <c r="H79" s="928">
        <f t="shared" si="6"/>
        <v>0</v>
      </c>
      <c r="K79" s="754"/>
    </row>
    <row r="80" spans="2:11" s="755" customFormat="1" x14ac:dyDescent="0.2">
      <c r="B80" s="1222"/>
      <c r="C80" s="1223" t="s">
        <v>713</v>
      </c>
      <c r="D80" s="1056"/>
      <c r="E80" s="1090"/>
      <c r="F80" s="1073">
        <v>3</v>
      </c>
      <c r="G80" s="960">
        <f t="shared" si="7"/>
        <v>0</v>
      </c>
      <c r="H80" s="928">
        <f t="shared" si="6"/>
        <v>0</v>
      </c>
      <c r="K80" s="754"/>
    </row>
    <row r="81" spans="2:11" s="755" customFormat="1" x14ac:dyDescent="0.2">
      <c r="B81" s="1222"/>
      <c r="C81" s="1223" t="s">
        <v>714</v>
      </c>
      <c r="D81" s="1056"/>
      <c r="E81" s="1090"/>
      <c r="F81" s="1073">
        <v>3</v>
      </c>
      <c r="G81" s="960">
        <f t="shared" si="7"/>
        <v>0</v>
      </c>
      <c r="H81" s="928">
        <f t="shared" si="6"/>
        <v>0</v>
      </c>
      <c r="K81" s="754"/>
    </row>
    <row r="82" spans="2:11" s="755" customFormat="1" x14ac:dyDescent="0.2">
      <c r="B82" s="1222"/>
      <c r="C82" s="1223" t="s">
        <v>715</v>
      </c>
      <c r="D82" s="1056"/>
      <c r="E82" s="1090"/>
      <c r="F82" s="1073">
        <v>3</v>
      </c>
      <c r="G82" s="960">
        <f t="shared" si="7"/>
        <v>0</v>
      </c>
      <c r="H82" s="928">
        <f t="shared" si="6"/>
        <v>0</v>
      </c>
      <c r="K82" s="754"/>
    </row>
    <row r="83" spans="2:11" s="755" customFormat="1" x14ac:dyDescent="0.2">
      <c r="B83" s="1222"/>
      <c r="C83" s="1223" t="s">
        <v>815</v>
      </c>
      <c r="D83" s="1056"/>
      <c r="E83" s="1090"/>
      <c r="F83" s="1073">
        <v>3</v>
      </c>
      <c r="G83" s="960">
        <f t="shared" si="7"/>
        <v>0</v>
      </c>
      <c r="H83" s="928">
        <f t="shared" si="6"/>
        <v>0</v>
      </c>
      <c r="K83" s="754"/>
    </row>
    <row r="84" spans="2:11" s="755" customFormat="1" x14ac:dyDescent="0.2">
      <c r="B84" s="1222"/>
      <c r="C84" s="1223" t="s">
        <v>816</v>
      </c>
      <c r="D84" s="1056"/>
      <c r="E84" s="1090"/>
      <c r="F84" s="1073">
        <v>3</v>
      </c>
      <c r="G84" s="960">
        <f t="shared" si="7"/>
        <v>0</v>
      </c>
      <c r="H84" s="928">
        <f t="shared" si="6"/>
        <v>0</v>
      </c>
      <c r="K84" s="754"/>
    </row>
    <row r="85" spans="2:11" s="755" customFormat="1" x14ac:dyDescent="0.2">
      <c r="B85" s="1222"/>
      <c r="C85" s="1223" t="s">
        <v>817</v>
      </c>
      <c r="D85" s="1056"/>
      <c r="E85" s="1090"/>
      <c r="F85" s="1073">
        <v>3</v>
      </c>
      <c r="G85" s="960">
        <f t="shared" si="7"/>
        <v>0</v>
      </c>
      <c r="H85" s="928">
        <f t="shared" si="6"/>
        <v>0</v>
      </c>
      <c r="K85" s="754"/>
    </row>
    <row r="86" spans="2:11" s="755" customFormat="1" x14ac:dyDescent="0.2">
      <c r="B86" s="1222"/>
      <c r="C86" s="1223" t="s">
        <v>818</v>
      </c>
      <c r="D86" s="1056"/>
      <c r="E86" s="1090"/>
      <c r="F86" s="1073">
        <v>3</v>
      </c>
      <c r="G86" s="960">
        <f t="shared" si="7"/>
        <v>0</v>
      </c>
      <c r="H86" s="928">
        <f t="shared" si="6"/>
        <v>0</v>
      </c>
      <c r="K86" s="754"/>
    </row>
    <row r="87" spans="2:11" s="755" customFormat="1" x14ac:dyDescent="0.2">
      <c r="B87" s="1241"/>
      <c r="C87" s="1223" t="s">
        <v>819</v>
      </c>
      <c r="D87" s="1056"/>
      <c r="E87" s="1090"/>
      <c r="F87" s="1073">
        <v>3</v>
      </c>
      <c r="G87" s="960">
        <f t="shared" si="7"/>
        <v>0</v>
      </c>
      <c r="H87" s="928">
        <f t="shared" si="6"/>
        <v>0</v>
      </c>
      <c r="K87" s="754"/>
    </row>
    <row r="88" spans="2:11" s="755" customFormat="1" x14ac:dyDescent="0.2">
      <c r="B88" s="1225"/>
      <c r="C88" s="1248"/>
      <c r="D88" s="1212"/>
      <c r="E88" s="1258"/>
      <c r="F88" s="867" t="s">
        <v>283</v>
      </c>
      <c r="G88" s="820">
        <f>SUM(G78:G87)</f>
        <v>0</v>
      </c>
      <c r="H88" s="821">
        <f>SUM(H78:H87)</f>
        <v>0</v>
      </c>
      <c r="K88" s="754"/>
    </row>
    <row r="89" spans="2:11" s="755" customFormat="1" ht="21" customHeight="1" x14ac:dyDescent="0.2">
      <c r="B89" s="1149"/>
      <c r="C89" s="827"/>
      <c r="D89" s="1249"/>
      <c r="E89" s="1259"/>
      <c r="F89" s="1260" t="s">
        <v>862</v>
      </c>
      <c r="G89" s="1116">
        <f>G88+G76</f>
        <v>0</v>
      </c>
      <c r="H89" s="1117">
        <f>H88+H76</f>
        <v>0</v>
      </c>
      <c r="K89" s="754"/>
    </row>
    <row r="90" spans="2:11" s="842" customFormat="1" x14ac:dyDescent="0.2">
      <c r="B90" s="872"/>
      <c r="C90" s="873"/>
      <c r="D90" s="874"/>
      <c r="E90" s="1264"/>
      <c r="F90" s="872"/>
      <c r="G90" s="877"/>
      <c r="H90" s="877"/>
      <c r="K90" s="840"/>
    </row>
    <row r="91" spans="2:11" s="842" customFormat="1" x14ac:dyDescent="0.2">
      <c r="B91" s="872"/>
      <c r="C91" s="873"/>
      <c r="D91" s="874"/>
      <c r="E91" s="1264"/>
      <c r="F91" s="872"/>
      <c r="G91" s="877"/>
      <c r="H91" s="877"/>
      <c r="K91" s="840"/>
    </row>
    <row r="92" spans="2:11" s="682" customFormat="1" ht="21" customHeight="1" x14ac:dyDescent="0.2">
      <c r="B92" s="1218">
        <v>5</v>
      </c>
      <c r="C92" s="1234" t="s">
        <v>418</v>
      </c>
      <c r="D92" s="1219"/>
      <c r="E92" s="882"/>
      <c r="F92" s="884"/>
      <c r="G92" s="884"/>
      <c r="H92" s="1220"/>
      <c r="K92" s="685"/>
    </row>
    <row r="93" spans="2:11" s="736" customFormat="1" x14ac:dyDescent="0.2">
      <c r="B93" s="809"/>
      <c r="C93" s="810"/>
      <c r="D93" s="810" t="s">
        <v>12</v>
      </c>
      <c r="E93" s="1003" t="s">
        <v>863</v>
      </c>
      <c r="F93" s="1068" t="s">
        <v>623</v>
      </c>
      <c r="G93" s="1069" t="s">
        <v>443</v>
      </c>
      <c r="H93" s="1070" t="s">
        <v>443</v>
      </c>
      <c r="K93" s="734"/>
    </row>
    <row r="94" spans="2:11" s="747" customFormat="1" x14ac:dyDescent="0.2">
      <c r="B94" s="737"/>
      <c r="C94" s="1236"/>
      <c r="D94" s="1236"/>
      <c r="E94" s="739"/>
      <c r="F94" s="858"/>
      <c r="G94" s="858" t="s">
        <v>445</v>
      </c>
      <c r="H94" s="859" t="s">
        <v>315</v>
      </c>
      <c r="K94" s="745"/>
    </row>
    <row r="95" spans="2:11" s="755" customFormat="1" x14ac:dyDescent="0.2">
      <c r="B95" s="1261"/>
      <c r="C95" s="1262" t="s">
        <v>547</v>
      </c>
      <c r="D95" s="1207"/>
      <c r="E95" s="1090"/>
      <c r="F95" s="1073">
        <v>1</v>
      </c>
      <c r="G95" s="960">
        <f>F95*E95</f>
        <v>0</v>
      </c>
      <c r="H95" s="928">
        <f>G95/15</f>
        <v>0</v>
      </c>
      <c r="K95" s="754"/>
    </row>
    <row r="96" spans="2:11" s="755" customFormat="1" x14ac:dyDescent="0.2">
      <c r="B96" s="1222"/>
      <c r="C96" s="1262" t="s">
        <v>548</v>
      </c>
      <c r="D96" s="1207"/>
      <c r="E96" s="1090"/>
      <c r="F96" s="1073">
        <v>1</v>
      </c>
      <c r="G96" s="960">
        <f>F96*E96</f>
        <v>0</v>
      </c>
      <c r="H96" s="928">
        <f>G96/15</f>
        <v>0</v>
      </c>
      <c r="K96" s="754"/>
    </row>
    <row r="97" spans="2:11" s="755" customFormat="1" x14ac:dyDescent="0.2">
      <c r="B97" s="1222"/>
      <c r="C97" s="1262" t="s">
        <v>549</v>
      </c>
      <c r="D97" s="1207"/>
      <c r="E97" s="1090"/>
      <c r="F97" s="1073">
        <v>1</v>
      </c>
      <c r="G97" s="960">
        <f>F97*E97</f>
        <v>0</v>
      </c>
      <c r="H97" s="928">
        <f>G97/15</f>
        <v>0</v>
      </c>
      <c r="K97" s="754"/>
    </row>
    <row r="98" spans="2:11" s="755" customFormat="1" x14ac:dyDescent="0.2">
      <c r="B98" s="1222"/>
      <c r="C98" s="1262" t="s">
        <v>550</v>
      </c>
      <c r="D98" s="1207"/>
      <c r="E98" s="1090"/>
      <c r="F98" s="1073">
        <v>1</v>
      </c>
      <c r="G98" s="960">
        <f>F98*E98</f>
        <v>0</v>
      </c>
      <c r="H98" s="928">
        <f>G98/15</f>
        <v>0</v>
      </c>
      <c r="K98" s="754"/>
    </row>
    <row r="99" spans="2:11" s="755" customFormat="1" x14ac:dyDescent="0.2">
      <c r="B99" s="1241"/>
      <c r="C99" s="1262" t="s">
        <v>551</v>
      </c>
      <c r="D99" s="1207"/>
      <c r="E99" s="1090"/>
      <c r="F99" s="1073">
        <v>1</v>
      </c>
      <c r="G99" s="960">
        <f>F99*E99</f>
        <v>0</v>
      </c>
      <c r="H99" s="928">
        <f>G99/15</f>
        <v>0</v>
      </c>
      <c r="K99" s="754"/>
    </row>
    <row r="100" spans="2:11" s="755" customFormat="1" x14ac:dyDescent="0.2">
      <c r="B100" s="1225"/>
      <c r="C100" s="1226"/>
      <c r="D100" s="866"/>
      <c r="E100" s="1075"/>
      <c r="F100" s="1263" t="s">
        <v>283</v>
      </c>
      <c r="G100" s="820">
        <f>SUM(G95:G99)</f>
        <v>0</v>
      </c>
      <c r="H100" s="821">
        <f>SUM(H95:H99)</f>
        <v>0</v>
      </c>
      <c r="K100" s="754"/>
    </row>
    <row r="101" spans="2:11" s="842" customFormat="1" x14ac:dyDescent="0.2">
      <c r="B101" s="872"/>
      <c r="C101" s="873"/>
      <c r="D101" s="874"/>
      <c r="E101" s="1264"/>
      <c r="F101" s="875"/>
      <c r="G101" s="877"/>
      <c r="H101" s="877"/>
      <c r="K101" s="840"/>
    </row>
    <row r="102" spans="2:11" x14ac:dyDescent="0.2">
      <c r="H102" s="1265"/>
    </row>
    <row r="103" spans="2:11" ht="18" hidden="1" x14ac:dyDescent="0.2">
      <c r="B103" s="1218">
        <v>6</v>
      </c>
      <c r="C103" s="1234" t="s">
        <v>864</v>
      </c>
      <c r="D103" s="1234"/>
      <c r="E103" s="1234"/>
      <c r="F103" s="1234"/>
      <c r="G103" s="1266"/>
      <c r="H103" s="1267"/>
    </row>
    <row r="104" spans="2:11" hidden="1" x14ac:dyDescent="0.2">
      <c r="B104" s="809"/>
      <c r="C104" s="810"/>
      <c r="D104" s="810" t="s">
        <v>865</v>
      </c>
      <c r="E104" s="1003" t="s">
        <v>537</v>
      </c>
      <c r="F104" s="1268" t="s">
        <v>623</v>
      </c>
      <c r="G104" s="1070" t="s">
        <v>866</v>
      </c>
      <c r="H104" s="1269"/>
    </row>
    <row r="105" spans="2:11" hidden="1" x14ac:dyDescent="0.2">
      <c r="B105" s="737"/>
      <c r="C105" s="1236"/>
      <c r="D105" s="1236"/>
      <c r="E105" s="739"/>
      <c r="F105" s="908"/>
      <c r="G105" s="859" t="s">
        <v>867</v>
      </c>
      <c r="H105" s="1269"/>
    </row>
    <row r="106" spans="2:11" hidden="1" x14ac:dyDescent="0.2">
      <c r="B106" s="1261"/>
      <c r="C106" s="1262" t="s">
        <v>868</v>
      </c>
      <c r="D106" s="1211" t="s">
        <v>869</v>
      </c>
      <c r="E106" s="1213"/>
      <c r="F106" s="1270">
        <v>1</v>
      </c>
      <c r="G106" s="1271">
        <f>IF(K106=TRUE,1,0)</f>
        <v>0</v>
      </c>
      <c r="H106" s="1272"/>
    </row>
    <row r="107" spans="2:11" hidden="1" x14ac:dyDescent="0.2">
      <c r="B107" s="1222"/>
      <c r="C107" s="1262" t="s">
        <v>870</v>
      </c>
      <c r="D107" s="1211" t="s">
        <v>871</v>
      </c>
      <c r="E107" s="1213"/>
      <c r="F107" s="1270">
        <v>1</v>
      </c>
      <c r="G107" s="1271">
        <f t="shared" ref="G107:G112" si="8">IF(K107=TRUE,1,0)</f>
        <v>0</v>
      </c>
      <c r="H107" s="1272"/>
    </row>
    <row r="108" spans="2:11" hidden="1" x14ac:dyDescent="0.2">
      <c r="B108" s="1222"/>
      <c r="C108" s="1262" t="s">
        <v>872</v>
      </c>
      <c r="D108" s="1211" t="s">
        <v>444</v>
      </c>
      <c r="E108" s="1213"/>
      <c r="F108" s="1270">
        <v>1</v>
      </c>
      <c r="G108" s="1271">
        <f t="shared" si="8"/>
        <v>0</v>
      </c>
      <c r="H108" s="1272"/>
    </row>
    <row r="109" spans="2:11" hidden="1" x14ac:dyDescent="0.2">
      <c r="B109" s="1222"/>
      <c r="C109" s="1262" t="s">
        <v>873</v>
      </c>
      <c r="D109" s="1211" t="s">
        <v>35</v>
      </c>
      <c r="E109" s="1213"/>
      <c r="F109" s="1270">
        <v>1</v>
      </c>
      <c r="G109" s="1271">
        <f t="shared" si="8"/>
        <v>0</v>
      </c>
      <c r="H109" s="1272"/>
    </row>
    <row r="110" spans="2:11" hidden="1" x14ac:dyDescent="0.2">
      <c r="B110" s="1222"/>
      <c r="C110" s="1262" t="s">
        <v>874</v>
      </c>
      <c r="D110" s="1211" t="s">
        <v>875</v>
      </c>
      <c r="E110" s="1213"/>
      <c r="F110" s="1270">
        <v>1</v>
      </c>
      <c r="G110" s="1271">
        <f t="shared" si="8"/>
        <v>0</v>
      </c>
      <c r="H110" s="1272"/>
    </row>
    <row r="111" spans="2:11" hidden="1" x14ac:dyDescent="0.2">
      <c r="B111" s="1222"/>
      <c r="C111" s="1262" t="s">
        <v>876</v>
      </c>
      <c r="D111" s="1211" t="s">
        <v>877</v>
      </c>
      <c r="E111" s="1213"/>
      <c r="F111" s="1270">
        <v>1</v>
      </c>
      <c r="G111" s="1271">
        <f t="shared" si="8"/>
        <v>0</v>
      </c>
      <c r="H111" s="1272"/>
    </row>
    <row r="112" spans="2:11" hidden="1" x14ac:dyDescent="0.2">
      <c r="B112" s="1241"/>
      <c r="C112" s="1262" t="s">
        <v>878</v>
      </c>
      <c r="D112" s="1211" t="s">
        <v>879</v>
      </c>
      <c r="E112" s="1213"/>
      <c r="F112" s="1270">
        <v>1</v>
      </c>
      <c r="G112" s="1271">
        <f t="shared" si="8"/>
        <v>0</v>
      </c>
      <c r="H112" s="1272"/>
    </row>
    <row r="113" spans="2:8" hidden="1" x14ac:dyDescent="0.2">
      <c r="B113" s="1225"/>
      <c r="C113" s="1226"/>
      <c r="D113" s="866"/>
      <c r="E113" s="866"/>
      <c r="F113" s="867" t="s">
        <v>283</v>
      </c>
      <c r="G113" s="1273">
        <f>SUM(G106:G112)</f>
        <v>0</v>
      </c>
      <c r="H113" s="877"/>
    </row>
    <row r="114" spans="2:8" hidden="1" x14ac:dyDescent="0.2">
      <c r="H114" s="1265"/>
    </row>
  </sheetData>
  <sheetProtection formatCells="0" formatColumns="0" formatRows="0" insertColumns="0" insertRows="0" insertHyperlinks="0"/>
  <mergeCells count="3">
    <mergeCell ref="C6:E6"/>
    <mergeCell ref="D9:E9"/>
    <mergeCell ref="D10:E10"/>
  </mergeCells>
  <pageMargins left="0.74803149606299213" right="0.74803149606299213" top="0.59055118110236227" bottom="0.39370078740157483" header="0.19685039370078741" footer="0.19685039370078741"/>
  <pageSetup paperSize="9" scale="87" orientation="landscape" verticalDpi="1200" r:id="rId1"/>
  <headerFooter alignWithMargins="0">
    <oddHeader>&amp;Rการคำนวณภาระงานระดับคณะ/มหาวิทยาลัย ที่ได้รับมอบหมาย หน้าที่ &amp;P/&amp;N</oddHeader>
    <oddFooter>&amp;LAPS v.4.3 พนักงานมหาวิทยาลัย&amp;Cหน้าที่ &amp;P/&amp;N</oddFooter>
  </headerFooter>
  <rowBreaks count="2" manualBreakCount="2">
    <brk id="44" min="1" max="7" man="1"/>
    <brk id="89" min="1" max="7" man="1"/>
  </rowBreaks>
  <colBreaks count="1" manualBreakCount="1">
    <brk id="8" min="1" max="9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23</vt:i4>
      </vt:variant>
    </vt:vector>
  </HeadingPairs>
  <TitlesOfParts>
    <vt:vector size="35" baseType="lpstr">
      <vt:lpstr>คำชี้แจง</vt:lpstr>
      <vt:lpstr>แบบข้อตกลง TOR (ป.วช.-01)</vt:lpstr>
      <vt:lpstr>แบบประเมิน(ป.วช-02)</vt:lpstr>
      <vt:lpstr>สรุปภาระงาน</vt:lpstr>
      <vt:lpstr>1. สอน</vt:lpstr>
      <vt:lpstr>2. วิจัยและงานวิชาการอื่น</vt:lpstr>
      <vt:lpstr>3 ภาระงานบริการวิชาการ</vt:lpstr>
      <vt:lpstr>4 ทำนุบำรุงศิลปะ</vt:lpstr>
      <vt:lpstr>5 ภาระงานอื่น</vt:lpstr>
      <vt:lpstr>ภาระงานยุทธศาสตร์</vt:lpstr>
      <vt:lpstr>TypeTable</vt:lpstr>
      <vt:lpstr>น้ำหนัก</vt:lpstr>
      <vt:lpstr>AdminList</vt:lpstr>
      <vt:lpstr>CheckAuthor</vt:lpstr>
      <vt:lpstr>FactList</vt:lpstr>
      <vt:lpstr>NationalList</vt:lpstr>
      <vt:lpstr>PassList</vt:lpstr>
      <vt:lpstr>PatentList</vt:lpstr>
      <vt:lpstr>PersonType</vt:lpstr>
      <vt:lpstr>PlaceList</vt:lpstr>
      <vt:lpstr>PlaceList2</vt:lpstr>
      <vt:lpstr>PositionList</vt:lpstr>
      <vt:lpstr>PositionList2</vt:lpstr>
      <vt:lpstr>'1. สอน'!Print_Area</vt:lpstr>
      <vt:lpstr>'2. วิจัยและงานวิชาการอื่น'!Print_Area</vt:lpstr>
      <vt:lpstr>'3 ภาระงานบริการวิชาการ'!Print_Area</vt:lpstr>
      <vt:lpstr>'4 ทำนุบำรุงศิลปะ'!Print_Area</vt:lpstr>
      <vt:lpstr>'5 ภาระงานอื่น'!Print_Area</vt:lpstr>
      <vt:lpstr>'แบบข้อตกลง TOR (ป.วช.-01)'!Print_Area</vt:lpstr>
      <vt:lpstr>'แบบประเมิน(ป.วช-02)'!Print_Area</vt:lpstr>
      <vt:lpstr>RoundNumber</vt:lpstr>
      <vt:lpstr>WeightList</vt:lpstr>
      <vt:lpstr>WeightTypeList</vt:lpstr>
      <vt:lpstr>WeightTypeList2</vt:lpstr>
      <vt:lpstr>WorkTypeList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LA-OR-RI</dc:creator>
  <cp:lastModifiedBy>CHATLADA</cp:lastModifiedBy>
  <cp:lastPrinted>2020-02-04T07:16:57Z</cp:lastPrinted>
  <dcterms:created xsi:type="dcterms:W3CDTF">2017-12-20T03:05:08Z</dcterms:created>
  <dcterms:modified xsi:type="dcterms:W3CDTF">2021-02-24T07:00:57Z</dcterms:modified>
</cp:coreProperties>
</file>